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1. HĐND\1. KỲ HỌP\7. Kỳ họp thứ Bảy 2022\NQ CHỈNH SỬA SAU\VỐN các CTMT 2021-2025\"/>
    </mc:Choice>
  </mc:AlternateContent>
  <bookViews>
    <workbookView xWindow="360" yWindow="90" windowWidth="19155" windowHeight="7755" firstSheet="2" activeTab="4"/>
  </bookViews>
  <sheets>
    <sheet name="Mẫu 2022" sheetId="1" state="hidden" r:id="rId1"/>
    <sheet name="Biểu 1" sheetId="3" state="hidden" r:id="rId2"/>
    <sheet name="Biểu 1_TH" sheetId="7" r:id="rId3"/>
    <sheet name="Biểu 2_DTTS" sheetId="4" r:id="rId4"/>
    <sheet name="Biểu 3_NTM" sheetId="5" r:id="rId5"/>
    <sheet name="Thuyết minh" sheetId="8" state="hidden" r:id="rId6"/>
    <sheet name="BIểu 2" sheetId="2" state="hidden" r:id="rId7"/>
  </sheets>
  <externalReferences>
    <externalReference r:id="rId8"/>
    <externalReference r:id="rId9"/>
    <externalReference r:id="rId10"/>
  </externalReferences>
  <definedNames>
    <definedName name="_xlnm.Print_Area" localSheetId="2">'Biểu 1_TH'!$A$3:$K$17</definedName>
    <definedName name="_xlnm.Print_Area" localSheetId="3">'Biểu 2_DTTS'!$A$1:$L$22</definedName>
    <definedName name="_xlnm.Print_Area" localSheetId="4">'Biểu 3_NTM'!$A$2:$L$31</definedName>
    <definedName name="_xlnm.Print_Area" localSheetId="5">'Thuyết minh'!$A$2:$L$80</definedName>
    <definedName name="_xlnm.Print_Titles" localSheetId="1">'Biểu 1'!$5:$6</definedName>
    <definedName name="_xlnm.Print_Titles" localSheetId="6">'BIểu 2'!$4:$5</definedName>
    <definedName name="_xlnm.Print_Titles" localSheetId="3">'Biểu 2_DTTS'!$5:$6</definedName>
    <definedName name="_xlnm.Print_Titles" localSheetId="4">'Biểu 3_NTM'!$5:$6</definedName>
    <definedName name="_xlnm.Print_Titles" localSheetId="0">'Mẫu 2022'!$4:$5</definedName>
    <definedName name="_xlnm.Print_Titles" localSheetId="5">'Thuyết minh'!$5:$6</definedName>
  </definedNames>
  <calcPr calcId="162913"/>
</workbook>
</file>

<file path=xl/calcChain.xml><?xml version="1.0" encoding="utf-8"?>
<calcChain xmlns="http://schemas.openxmlformats.org/spreadsheetml/2006/main">
  <c r="G9" i="7" l="1"/>
  <c r="H17" i="7" l="1"/>
  <c r="G17" i="7"/>
  <c r="G16" i="7"/>
  <c r="F16" i="7" s="1"/>
  <c r="G13" i="7"/>
  <c r="H13" i="7"/>
  <c r="H12" i="7"/>
  <c r="G12" i="7"/>
  <c r="H10" i="7"/>
  <c r="G10" i="7"/>
  <c r="F10" i="7" s="1"/>
  <c r="H9" i="7"/>
  <c r="F9" i="7"/>
  <c r="F15" i="7"/>
  <c r="F14" i="7"/>
  <c r="F13" i="7"/>
  <c r="F11" i="7"/>
  <c r="F17" i="7" l="1"/>
  <c r="H8" i="7"/>
  <c r="G8" i="7"/>
  <c r="F12" i="7"/>
  <c r="F8" i="7" s="1"/>
  <c r="R80" i="8" l="1"/>
  <c r="Q80" i="8"/>
  <c r="P80" i="8"/>
  <c r="O80" i="8"/>
  <c r="N80" i="8"/>
  <c r="F80" i="8"/>
  <c r="R79" i="8"/>
  <c r="Q79" i="8"/>
  <c r="P79" i="8"/>
  <c r="O79" i="8"/>
  <c r="N79" i="8"/>
  <c r="F79" i="8"/>
  <c r="R78" i="8"/>
  <c r="Q78" i="8"/>
  <c r="P78" i="8"/>
  <c r="O78" i="8"/>
  <c r="N78" i="8"/>
  <c r="M78" i="8" s="1"/>
  <c r="F78" i="8"/>
  <c r="K77" i="8"/>
  <c r="J77" i="8"/>
  <c r="I77" i="8"/>
  <c r="H77" i="8"/>
  <c r="G77" i="8"/>
  <c r="E77" i="8"/>
  <c r="R76" i="8"/>
  <c r="Q76" i="8"/>
  <c r="P76" i="8"/>
  <c r="O76" i="8"/>
  <c r="N76" i="8"/>
  <c r="F76" i="8"/>
  <c r="R75" i="8"/>
  <c r="Q75" i="8"/>
  <c r="P75" i="8"/>
  <c r="O75" i="8"/>
  <c r="N75" i="8"/>
  <c r="F75" i="8"/>
  <c r="R74" i="8"/>
  <c r="Q74" i="8"/>
  <c r="P74" i="8"/>
  <c r="O74" i="8"/>
  <c r="N74" i="8"/>
  <c r="F74" i="8"/>
  <c r="R73" i="8"/>
  <c r="Q73" i="8"/>
  <c r="P73" i="8"/>
  <c r="O73" i="8"/>
  <c r="N73" i="8"/>
  <c r="M73" i="8" s="1"/>
  <c r="F73" i="8"/>
  <c r="R72" i="8"/>
  <c r="Q72" i="8"/>
  <c r="P72" i="8"/>
  <c r="O72" i="8"/>
  <c r="N72" i="8"/>
  <c r="F72" i="8"/>
  <c r="R71" i="8"/>
  <c r="Q71" i="8"/>
  <c r="P71" i="8"/>
  <c r="O71" i="8"/>
  <c r="N71" i="8"/>
  <c r="F71" i="8"/>
  <c r="R70" i="8"/>
  <c r="Q70" i="8"/>
  <c r="P70" i="8"/>
  <c r="M70" i="8" s="1"/>
  <c r="O70" i="8"/>
  <c r="N70" i="8"/>
  <c r="F70" i="8"/>
  <c r="R69" i="8"/>
  <c r="Q69" i="8"/>
  <c r="P69" i="8"/>
  <c r="O69" i="8"/>
  <c r="N69" i="8"/>
  <c r="F69" i="8"/>
  <c r="R68" i="8"/>
  <c r="Q68" i="8"/>
  <c r="P68" i="8"/>
  <c r="O68" i="8"/>
  <c r="N68" i="8"/>
  <c r="F68" i="8"/>
  <c r="R67" i="8"/>
  <c r="Q67" i="8"/>
  <c r="P67" i="8"/>
  <c r="O67" i="8"/>
  <c r="N67" i="8"/>
  <c r="F67" i="8"/>
  <c r="R66" i="8"/>
  <c r="Q66" i="8"/>
  <c r="P66" i="8"/>
  <c r="O66" i="8"/>
  <c r="N66" i="8"/>
  <c r="F66" i="8"/>
  <c r="R65" i="8"/>
  <c r="Q65" i="8"/>
  <c r="P65" i="8"/>
  <c r="O65" i="8"/>
  <c r="N65" i="8"/>
  <c r="F65" i="8"/>
  <c r="R64" i="8"/>
  <c r="Q64" i="8"/>
  <c r="P64" i="8"/>
  <c r="O64" i="8"/>
  <c r="N64" i="8"/>
  <c r="F64" i="8"/>
  <c r="R63" i="8"/>
  <c r="Q63" i="8"/>
  <c r="P63" i="8"/>
  <c r="O63" i="8"/>
  <c r="N63" i="8"/>
  <c r="F63" i="8"/>
  <c r="K62" i="8"/>
  <c r="J62" i="8"/>
  <c r="Q62" i="8" s="1"/>
  <c r="I62" i="8"/>
  <c r="H62" i="8"/>
  <c r="G62" i="8"/>
  <c r="E62" i="8"/>
  <c r="R61" i="8"/>
  <c r="Q61" i="8"/>
  <c r="P61" i="8"/>
  <c r="O61" i="8"/>
  <c r="N61" i="8"/>
  <c r="F61" i="8"/>
  <c r="R60" i="8"/>
  <c r="Q60" i="8"/>
  <c r="P60" i="8"/>
  <c r="O60" i="8"/>
  <c r="N60" i="8"/>
  <c r="F60" i="8"/>
  <c r="R59" i="8"/>
  <c r="Q59" i="8"/>
  <c r="P59" i="8"/>
  <c r="O59" i="8"/>
  <c r="N59" i="8"/>
  <c r="F59" i="8"/>
  <c r="R58" i="8"/>
  <c r="Q58" i="8"/>
  <c r="P58" i="8"/>
  <c r="O58" i="8"/>
  <c r="N58" i="8"/>
  <c r="F58" i="8"/>
  <c r="R57" i="8"/>
  <c r="Q57" i="8"/>
  <c r="P57" i="8"/>
  <c r="O57" i="8"/>
  <c r="N57" i="8"/>
  <c r="F57" i="8"/>
  <c r="R56" i="8"/>
  <c r="Q56" i="8"/>
  <c r="P56" i="8"/>
  <c r="O56" i="8"/>
  <c r="N56" i="8"/>
  <c r="F56" i="8"/>
  <c r="R55" i="8"/>
  <c r="Q55" i="8"/>
  <c r="P55" i="8"/>
  <c r="O55" i="8"/>
  <c r="N55" i="8"/>
  <c r="F55" i="8"/>
  <c r="R54" i="8"/>
  <c r="Q54" i="8"/>
  <c r="P54" i="8"/>
  <c r="O54" i="8"/>
  <c r="N54" i="8"/>
  <c r="F54" i="8"/>
  <c r="A54" i="8"/>
  <c r="A55" i="8" s="1"/>
  <c r="A56" i="8" s="1"/>
  <c r="A57" i="8" s="1"/>
  <c r="A58" i="8" s="1"/>
  <c r="A59" i="8" s="1"/>
  <c r="A60" i="8" s="1"/>
  <c r="A61" i="8" s="1"/>
  <c r="R53" i="8"/>
  <c r="Q53" i="8"/>
  <c r="P53" i="8"/>
  <c r="O53" i="8"/>
  <c r="N53" i="8"/>
  <c r="F53" i="8"/>
  <c r="K52" i="8"/>
  <c r="R52" i="8" s="1"/>
  <c r="J52" i="8"/>
  <c r="Q52" i="8" s="1"/>
  <c r="I52" i="8"/>
  <c r="H52" i="8"/>
  <c r="O52" i="8" s="1"/>
  <c r="G52" i="8"/>
  <c r="N52" i="8" s="1"/>
  <c r="E52" i="8"/>
  <c r="Q51" i="8"/>
  <c r="P51" i="8"/>
  <c r="O51" i="8"/>
  <c r="N51" i="8"/>
  <c r="K51" i="8"/>
  <c r="R51" i="8" s="1"/>
  <c r="G51" i="8"/>
  <c r="F51" i="8" s="1"/>
  <c r="Q50" i="8"/>
  <c r="P50" i="8"/>
  <c r="O50" i="8"/>
  <c r="G50" i="8"/>
  <c r="Q49" i="8"/>
  <c r="P49" i="8"/>
  <c r="O49" i="8"/>
  <c r="N49" i="8"/>
  <c r="K49" i="8"/>
  <c r="R49" i="8" s="1"/>
  <c r="F49" i="8"/>
  <c r="R48" i="8"/>
  <c r="Q48" i="8"/>
  <c r="P48" i="8"/>
  <c r="O48" i="8"/>
  <c r="N48" i="8"/>
  <c r="K48" i="8"/>
  <c r="F48" i="8"/>
  <c r="J47" i="8"/>
  <c r="I47" i="8"/>
  <c r="H47" i="8"/>
  <c r="G47" i="8"/>
  <c r="F47" i="8" s="1"/>
  <c r="E47" i="8"/>
  <c r="Q46" i="8"/>
  <c r="P46" i="8"/>
  <c r="O46" i="8"/>
  <c r="N46" i="8"/>
  <c r="M46" i="8" s="1"/>
  <c r="K46" i="8"/>
  <c r="R46" i="8" s="1"/>
  <c r="F46" i="8"/>
  <c r="Q45" i="8"/>
  <c r="P45" i="8"/>
  <c r="O45" i="8"/>
  <c r="N45" i="8"/>
  <c r="K45" i="8"/>
  <c r="R45" i="8" s="1"/>
  <c r="M45" i="8" s="1"/>
  <c r="F45" i="8"/>
  <c r="Q44" i="8"/>
  <c r="P44" i="8"/>
  <c r="O44" i="8"/>
  <c r="N44" i="8"/>
  <c r="M44" i="8" s="1"/>
  <c r="K44" i="8"/>
  <c r="R44" i="8" s="1"/>
  <c r="F44" i="8"/>
  <c r="Q43" i="8"/>
  <c r="P43" i="8"/>
  <c r="O43" i="8"/>
  <c r="N43" i="8"/>
  <c r="K43" i="8"/>
  <c r="R43" i="8" s="1"/>
  <c r="F43" i="8"/>
  <c r="Q42" i="8"/>
  <c r="P42" i="8"/>
  <c r="M42" i="8" s="1"/>
  <c r="O42" i="8"/>
  <c r="N42" i="8"/>
  <c r="K42" i="8"/>
  <c r="R42" i="8" s="1"/>
  <c r="F42" i="8"/>
  <c r="Q41" i="8"/>
  <c r="P41" i="8"/>
  <c r="O41" i="8"/>
  <c r="N41" i="8"/>
  <c r="K41" i="8"/>
  <c r="R41" i="8" s="1"/>
  <c r="F41" i="8"/>
  <c r="K40" i="8"/>
  <c r="R40" i="8" s="1"/>
  <c r="J40" i="8"/>
  <c r="Q40" i="8" s="1"/>
  <c r="I40" i="8"/>
  <c r="H40" i="8"/>
  <c r="O40" i="8" s="1"/>
  <c r="G40" i="8"/>
  <c r="N40" i="8" s="1"/>
  <c r="E40" i="8"/>
  <c r="N39" i="8"/>
  <c r="K39" i="8"/>
  <c r="F39" i="8"/>
  <c r="E39" i="8"/>
  <c r="R39" i="8" s="1"/>
  <c r="K38" i="8"/>
  <c r="F38" i="8"/>
  <c r="E38" i="8"/>
  <c r="P38" i="8" s="1"/>
  <c r="K37" i="8"/>
  <c r="F37" i="8"/>
  <c r="K36" i="8"/>
  <c r="F36" i="8"/>
  <c r="J35" i="8"/>
  <c r="I35" i="8"/>
  <c r="H35" i="8"/>
  <c r="G35" i="8"/>
  <c r="F35" i="8" s="1"/>
  <c r="R34" i="8"/>
  <c r="Q34" i="8"/>
  <c r="P34" i="8"/>
  <c r="O34" i="8"/>
  <c r="M34" i="8" s="1"/>
  <c r="N34" i="8"/>
  <c r="F34" i="8"/>
  <c r="R33" i="8"/>
  <c r="Q33" i="8"/>
  <c r="P33" i="8"/>
  <c r="O33" i="8"/>
  <c r="N33" i="8"/>
  <c r="F33" i="8"/>
  <c r="R32" i="8"/>
  <c r="Q32" i="8"/>
  <c r="P32" i="8"/>
  <c r="O32" i="8"/>
  <c r="N32" i="8"/>
  <c r="F32" i="8"/>
  <c r="R31" i="8"/>
  <c r="Q31" i="8"/>
  <c r="P31" i="8"/>
  <c r="O31" i="8"/>
  <c r="N31" i="8"/>
  <c r="F31" i="8"/>
  <c r="R30" i="8"/>
  <c r="Q30" i="8"/>
  <c r="P30" i="8"/>
  <c r="O30" i="8"/>
  <c r="M30" i="8" s="1"/>
  <c r="N30" i="8"/>
  <c r="F30" i="8"/>
  <c r="K29" i="8"/>
  <c r="J29" i="8"/>
  <c r="I29" i="8"/>
  <c r="H29" i="8"/>
  <c r="G29" i="8"/>
  <c r="F29" i="8" s="1"/>
  <c r="E29" i="8"/>
  <c r="R29" i="8" s="1"/>
  <c r="K28" i="8"/>
  <c r="F28" i="8"/>
  <c r="K27" i="8"/>
  <c r="F27" i="8"/>
  <c r="K26" i="8"/>
  <c r="E26" i="8" s="1"/>
  <c r="F26" i="8"/>
  <c r="A26" i="8"/>
  <c r="A27" i="8" s="1"/>
  <c r="A28" i="8" s="1"/>
  <c r="K25" i="8"/>
  <c r="K24" i="8" s="1"/>
  <c r="F25" i="8"/>
  <c r="J24" i="8"/>
  <c r="I24" i="8"/>
  <c r="I23" i="8" s="1"/>
  <c r="I7" i="8" s="1"/>
  <c r="H24" i="8"/>
  <c r="H23" i="8" s="1"/>
  <c r="G24" i="8"/>
  <c r="F24" i="8"/>
  <c r="F22" i="8"/>
  <c r="E22" i="8"/>
  <c r="F21" i="8"/>
  <c r="E21" i="8"/>
  <c r="F20" i="8"/>
  <c r="E20" i="8"/>
  <c r="H19" i="8"/>
  <c r="H16" i="8" s="1"/>
  <c r="G19" i="8"/>
  <c r="E19" i="8" s="1"/>
  <c r="F18" i="8"/>
  <c r="E18" i="8"/>
  <c r="E16" i="8" s="1"/>
  <c r="F17" i="8"/>
  <c r="E17" i="8"/>
  <c r="G16" i="8"/>
  <c r="G15" i="8"/>
  <c r="F15" i="8"/>
  <c r="E15" i="8"/>
  <c r="G14" i="8"/>
  <c r="F14" i="8" s="1"/>
  <c r="G13" i="8"/>
  <c r="E13" i="8" s="1"/>
  <c r="F13" i="8"/>
  <c r="W12" i="8"/>
  <c r="X12" i="8" s="1"/>
  <c r="V12" i="8"/>
  <c r="G12" i="8"/>
  <c r="F12" i="8" s="1"/>
  <c r="E12" i="8"/>
  <c r="F11" i="8"/>
  <c r="E11" i="8"/>
  <c r="H10" i="8"/>
  <c r="H9" i="8" s="1"/>
  <c r="G10" i="8"/>
  <c r="F10" i="8" s="1"/>
  <c r="K8" i="8"/>
  <c r="J8" i="8"/>
  <c r="I8" i="8"/>
  <c r="Y9" i="8" l="1"/>
  <c r="U9" i="8"/>
  <c r="U10" i="8"/>
  <c r="H8" i="8"/>
  <c r="H7" i="8" s="1"/>
  <c r="W7" i="8" s="1"/>
  <c r="J23" i="8"/>
  <c r="R28" i="8"/>
  <c r="M33" i="8"/>
  <c r="K35" i="8"/>
  <c r="M51" i="8"/>
  <c r="M54" i="8"/>
  <c r="M56" i="8"/>
  <c r="M58" i="8"/>
  <c r="M60" i="8"/>
  <c r="N62" i="8"/>
  <c r="M62" i="8" s="1"/>
  <c r="R62" i="8"/>
  <c r="M66" i="8"/>
  <c r="M68" i="8"/>
  <c r="F16" i="8"/>
  <c r="E14" i="8"/>
  <c r="E25" i="8"/>
  <c r="Q25" i="8" s="1"/>
  <c r="E27" i="8"/>
  <c r="E36" i="8"/>
  <c r="R36" i="8" s="1"/>
  <c r="R38" i="8"/>
  <c r="P40" i="8"/>
  <c r="M41" i="8"/>
  <c r="P52" i="8"/>
  <c r="M53" i="8"/>
  <c r="O62" i="8"/>
  <c r="M64" i="8"/>
  <c r="M72" i="8"/>
  <c r="M74" i="8"/>
  <c r="M76" i="8"/>
  <c r="P77" i="8"/>
  <c r="J7" i="8"/>
  <c r="Q38" i="8"/>
  <c r="F19" i="8"/>
  <c r="G23" i="8"/>
  <c r="F23" i="8" s="1"/>
  <c r="E28" i="8"/>
  <c r="P29" i="8"/>
  <c r="M32" i="8"/>
  <c r="E37" i="8"/>
  <c r="N37" i="8" s="1"/>
  <c r="O38" i="8"/>
  <c r="F40" i="8"/>
  <c r="M43" i="8"/>
  <c r="P47" i="8"/>
  <c r="M48" i="8"/>
  <c r="F52" i="8"/>
  <c r="M55" i="8"/>
  <c r="M57" i="8"/>
  <c r="M59" i="8"/>
  <c r="M61" i="8"/>
  <c r="M65" i="8"/>
  <c r="M80" i="8"/>
  <c r="F62" i="8"/>
  <c r="M63" i="8"/>
  <c r="M71" i="8"/>
  <c r="M79" i="8"/>
  <c r="M67" i="8"/>
  <c r="M75" i="8"/>
  <c r="P62" i="8"/>
  <c r="M69" i="8"/>
  <c r="F77" i="8"/>
  <c r="R77" i="8"/>
  <c r="M52" i="8"/>
  <c r="M40" i="8"/>
  <c r="M31" i="8"/>
  <c r="G9" i="8"/>
  <c r="F9" i="8" s="1"/>
  <c r="E10" i="8"/>
  <c r="E9" i="8" s="1"/>
  <c r="E8" i="8" s="1"/>
  <c r="N25" i="8"/>
  <c r="P25" i="8"/>
  <c r="R25" i="8"/>
  <c r="P26" i="8"/>
  <c r="N26" i="8"/>
  <c r="R26" i="8"/>
  <c r="O26" i="8"/>
  <c r="O29" i="8"/>
  <c r="Q29" i="8"/>
  <c r="N29" i="8"/>
  <c r="M29" i="8" s="1"/>
  <c r="N50" i="8"/>
  <c r="K50" i="8"/>
  <c r="F50" i="8"/>
  <c r="O25" i="8"/>
  <c r="Q26" i="8"/>
  <c r="Q37" i="8"/>
  <c r="O37" i="8"/>
  <c r="P37" i="8"/>
  <c r="Q39" i="8"/>
  <c r="O39" i="8"/>
  <c r="P39" i="8"/>
  <c r="O47" i="8"/>
  <c r="Q47" i="8"/>
  <c r="N47" i="8"/>
  <c r="M49" i="8"/>
  <c r="O77" i="8"/>
  <c r="Q77" i="8"/>
  <c r="N77" i="8"/>
  <c r="N28" i="8"/>
  <c r="N36" i="8"/>
  <c r="N38" i="8"/>
  <c r="M38" i="8" s="1"/>
  <c r="P27" i="8" l="1"/>
  <c r="Q27" i="8"/>
  <c r="O27" i="8"/>
  <c r="M37" i="8"/>
  <c r="E24" i="8"/>
  <c r="M39" i="8"/>
  <c r="N27" i="8"/>
  <c r="M27" i="8" s="1"/>
  <c r="P28" i="8"/>
  <c r="Q28" i="8"/>
  <c r="O28" i="8"/>
  <c r="M28" i="8" s="1"/>
  <c r="P36" i="8"/>
  <c r="Q36" i="8"/>
  <c r="E35" i="8"/>
  <c r="O36" i="8"/>
  <c r="M36" i="8" s="1"/>
  <c r="R27" i="8"/>
  <c r="R37" i="8"/>
  <c r="G8" i="8"/>
  <c r="G7" i="8" s="1"/>
  <c r="Q24" i="8"/>
  <c r="R24" i="8"/>
  <c r="N24" i="8"/>
  <c r="M77" i="8"/>
  <c r="F8" i="8"/>
  <c r="R50" i="8"/>
  <c r="M50" i="8" s="1"/>
  <c r="K47" i="8"/>
  <c r="M26" i="8"/>
  <c r="M25" i="8"/>
  <c r="O24" i="8"/>
  <c r="P24" i="8"/>
  <c r="R35" i="8" l="1"/>
  <c r="O35" i="8"/>
  <c r="Q35" i="8"/>
  <c r="N35" i="8"/>
  <c r="M35" i="8" s="1"/>
  <c r="P35" i="8"/>
  <c r="E23" i="8"/>
  <c r="R47" i="8"/>
  <c r="M47" i="8" s="1"/>
  <c r="K23" i="8"/>
  <c r="V7" i="8"/>
  <c r="F7" i="8"/>
  <c r="M24" i="8"/>
  <c r="P23" i="8" l="1"/>
  <c r="N23" i="8"/>
  <c r="Q23" i="8"/>
  <c r="O23" i="8"/>
  <c r="E7" i="8"/>
  <c r="R23" i="8"/>
  <c r="K7" i="8"/>
  <c r="M23" i="8" l="1"/>
  <c r="A3" i="5"/>
  <c r="A3" i="8" s="1"/>
  <c r="G23" i="5"/>
  <c r="H23" i="5"/>
  <c r="F23" i="5"/>
  <c r="E30" i="5"/>
  <c r="N30" i="5" s="1"/>
  <c r="I30" i="5"/>
  <c r="J30" i="5"/>
  <c r="Q30" i="5" s="1"/>
  <c r="K30" i="5"/>
  <c r="O30" i="5"/>
  <c r="F18" i="4"/>
  <c r="F19" i="4"/>
  <c r="F20" i="4"/>
  <c r="F21" i="4"/>
  <c r="F22" i="4"/>
  <c r="F17" i="4"/>
  <c r="F11" i="4"/>
  <c r="F12" i="4"/>
  <c r="F13" i="4"/>
  <c r="F14" i="4"/>
  <c r="F15" i="4"/>
  <c r="F10" i="4"/>
  <c r="A3" i="4"/>
  <c r="D10" i="7"/>
  <c r="E10" i="7"/>
  <c r="D11" i="7"/>
  <c r="E11" i="7"/>
  <c r="E12" i="7"/>
  <c r="D13" i="7"/>
  <c r="E13" i="7"/>
  <c r="D14" i="7"/>
  <c r="C14" i="7" s="1"/>
  <c r="E14" i="7"/>
  <c r="D15" i="7"/>
  <c r="E15" i="7"/>
  <c r="E16" i="7"/>
  <c r="D17" i="7"/>
  <c r="E17" i="7"/>
  <c r="E9" i="7"/>
  <c r="I10" i="7"/>
  <c r="I11" i="7"/>
  <c r="I12" i="7"/>
  <c r="D12" i="7" s="1"/>
  <c r="C12" i="7" s="1"/>
  <c r="I13" i="7"/>
  <c r="I14" i="7"/>
  <c r="I15" i="7"/>
  <c r="I16" i="7"/>
  <c r="D16" i="7" s="1"/>
  <c r="I17" i="7"/>
  <c r="I9" i="7"/>
  <c r="D9" i="7" s="1"/>
  <c r="J8" i="7"/>
  <c r="K8" i="7"/>
  <c r="G63" i="3"/>
  <c r="H63" i="3"/>
  <c r="G64" i="3"/>
  <c r="H64" i="3"/>
  <c r="G65" i="3"/>
  <c r="H65" i="3"/>
  <c r="G66" i="3"/>
  <c r="H66" i="3"/>
  <c r="G67" i="3"/>
  <c r="H67" i="3"/>
  <c r="G68" i="3"/>
  <c r="H68" i="3"/>
  <c r="G69" i="3"/>
  <c r="H69" i="3"/>
  <c r="G70" i="3"/>
  <c r="H70" i="3"/>
  <c r="G71" i="3"/>
  <c r="H71" i="3"/>
  <c r="G72" i="3"/>
  <c r="H72" i="3"/>
  <c r="G73" i="3"/>
  <c r="H73" i="3"/>
  <c r="G74" i="3"/>
  <c r="H74" i="3"/>
  <c r="G75" i="3"/>
  <c r="H75" i="3"/>
  <c r="G76" i="3"/>
  <c r="H76" i="3"/>
  <c r="G77" i="3"/>
  <c r="H77" i="3"/>
  <c r="G78" i="3"/>
  <c r="H78" i="3"/>
  <c r="G79" i="3"/>
  <c r="H79" i="3"/>
  <c r="G80" i="3"/>
  <c r="H80" i="3"/>
  <c r="G81" i="3"/>
  <c r="H81" i="3"/>
  <c r="G82" i="3"/>
  <c r="H82" i="3"/>
  <c r="G25" i="3"/>
  <c r="H25" i="3"/>
  <c r="G26" i="3"/>
  <c r="H26" i="3"/>
  <c r="F27" i="3"/>
  <c r="G27" i="3"/>
  <c r="H27" i="3"/>
  <c r="G28" i="3"/>
  <c r="H28" i="3"/>
  <c r="G29" i="3"/>
  <c r="H29" i="3"/>
  <c r="G30" i="3"/>
  <c r="H30" i="3"/>
  <c r="F31" i="3"/>
  <c r="G31" i="3"/>
  <c r="H31" i="3"/>
  <c r="G32" i="3"/>
  <c r="H32" i="3"/>
  <c r="G33" i="3"/>
  <c r="H33" i="3"/>
  <c r="G34" i="3"/>
  <c r="H34" i="3"/>
  <c r="F35" i="3"/>
  <c r="G35" i="3"/>
  <c r="H35" i="3"/>
  <c r="G36" i="3"/>
  <c r="H36" i="3"/>
  <c r="G37" i="3"/>
  <c r="H37" i="3"/>
  <c r="G38" i="3"/>
  <c r="H38" i="3"/>
  <c r="F39" i="3"/>
  <c r="G39" i="3"/>
  <c r="H39" i="3"/>
  <c r="G40" i="3"/>
  <c r="H40" i="3"/>
  <c r="G41" i="3"/>
  <c r="H41" i="3"/>
  <c r="G42" i="3"/>
  <c r="H42" i="3"/>
  <c r="F43" i="3"/>
  <c r="G43" i="3"/>
  <c r="H43" i="3"/>
  <c r="G44" i="3"/>
  <c r="H44" i="3"/>
  <c r="G45" i="3"/>
  <c r="H45" i="3"/>
  <c r="G46" i="3"/>
  <c r="H46" i="3"/>
  <c r="F47" i="3"/>
  <c r="G47" i="3"/>
  <c r="H47" i="3"/>
  <c r="G48" i="3"/>
  <c r="H48" i="3"/>
  <c r="G49" i="3"/>
  <c r="H49" i="3"/>
  <c r="G50" i="3"/>
  <c r="H50" i="3"/>
  <c r="F51" i="3"/>
  <c r="G51" i="3"/>
  <c r="H51" i="3"/>
  <c r="G52" i="3"/>
  <c r="H52" i="3"/>
  <c r="G53" i="3"/>
  <c r="H53" i="3"/>
  <c r="G54" i="3"/>
  <c r="H54" i="3"/>
  <c r="F55" i="3"/>
  <c r="G55" i="3"/>
  <c r="H55" i="3"/>
  <c r="G56" i="3"/>
  <c r="H56" i="3"/>
  <c r="G57" i="3"/>
  <c r="H57" i="3"/>
  <c r="G58" i="3"/>
  <c r="H58" i="3"/>
  <c r="F59" i="3"/>
  <c r="G59" i="3"/>
  <c r="H59" i="3"/>
  <c r="G60" i="3"/>
  <c r="H60" i="3"/>
  <c r="G61" i="3"/>
  <c r="H61" i="3"/>
  <c r="G62" i="3"/>
  <c r="H62" i="3"/>
  <c r="H24" i="3"/>
  <c r="AD82" i="3"/>
  <c r="AC25" i="3"/>
  <c r="F25" i="3" s="1"/>
  <c r="AC26" i="3"/>
  <c r="F26" i="3" s="1"/>
  <c r="AC27" i="3"/>
  <c r="AC28" i="3"/>
  <c r="F28" i="3" s="1"/>
  <c r="AC29" i="3"/>
  <c r="F29" i="3" s="1"/>
  <c r="AC30" i="3"/>
  <c r="F30" i="3" s="1"/>
  <c r="AC31" i="3"/>
  <c r="AC32" i="3"/>
  <c r="F32" i="3" s="1"/>
  <c r="AC33" i="3"/>
  <c r="F33" i="3" s="1"/>
  <c r="AC34" i="3"/>
  <c r="F34" i="3" s="1"/>
  <c r="AC35" i="3"/>
  <c r="AC36" i="3"/>
  <c r="F36" i="3" s="1"/>
  <c r="AC37" i="3"/>
  <c r="F37" i="3" s="1"/>
  <c r="AC38" i="3"/>
  <c r="F38" i="3" s="1"/>
  <c r="AC39" i="3"/>
  <c r="AC40" i="3"/>
  <c r="F40" i="3" s="1"/>
  <c r="AC41" i="3"/>
  <c r="F41" i="3" s="1"/>
  <c r="AC42" i="3"/>
  <c r="F42" i="3" s="1"/>
  <c r="AC43" i="3"/>
  <c r="AC44" i="3"/>
  <c r="F44" i="3" s="1"/>
  <c r="AC45" i="3"/>
  <c r="F45" i="3" s="1"/>
  <c r="AC46" i="3"/>
  <c r="F46" i="3" s="1"/>
  <c r="AC47" i="3"/>
  <c r="AC48" i="3"/>
  <c r="F48" i="3" s="1"/>
  <c r="AC49" i="3"/>
  <c r="F49" i="3" s="1"/>
  <c r="AC50" i="3"/>
  <c r="F50" i="3" s="1"/>
  <c r="AC51" i="3"/>
  <c r="AC52" i="3"/>
  <c r="F52" i="3" s="1"/>
  <c r="AC53" i="3"/>
  <c r="F53" i="3" s="1"/>
  <c r="AC54" i="3"/>
  <c r="F54" i="3" s="1"/>
  <c r="AC55" i="3"/>
  <c r="AC56" i="3"/>
  <c r="F56" i="3" s="1"/>
  <c r="AC57" i="3"/>
  <c r="F57" i="3" s="1"/>
  <c r="AC58" i="3"/>
  <c r="F58" i="3" s="1"/>
  <c r="AC59" i="3"/>
  <c r="AC60" i="3"/>
  <c r="F60" i="3" s="1"/>
  <c r="AC61" i="3"/>
  <c r="F61" i="3" s="1"/>
  <c r="AC62" i="3"/>
  <c r="F62" i="3" s="1"/>
  <c r="AC63" i="3"/>
  <c r="F63" i="3" s="1"/>
  <c r="AC64" i="3"/>
  <c r="F64" i="3" s="1"/>
  <c r="AC65" i="3"/>
  <c r="F65" i="3" s="1"/>
  <c r="AC66" i="3"/>
  <c r="F66" i="3" s="1"/>
  <c r="AC67" i="3"/>
  <c r="F67" i="3" s="1"/>
  <c r="AC68" i="3"/>
  <c r="F68" i="3" s="1"/>
  <c r="AC69" i="3"/>
  <c r="F69" i="3" s="1"/>
  <c r="AC70" i="3"/>
  <c r="F70" i="3" s="1"/>
  <c r="AC71" i="3"/>
  <c r="F71" i="3" s="1"/>
  <c r="AC72" i="3"/>
  <c r="F72" i="3" s="1"/>
  <c r="AC73" i="3"/>
  <c r="F73" i="3" s="1"/>
  <c r="AC74" i="3"/>
  <c r="F74" i="3" s="1"/>
  <c r="AC75" i="3"/>
  <c r="F75" i="3" s="1"/>
  <c r="AC76" i="3"/>
  <c r="F76" i="3" s="1"/>
  <c r="AC77" i="3"/>
  <c r="F77" i="3" s="1"/>
  <c r="AC78" i="3"/>
  <c r="F78" i="3" s="1"/>
  <c r="AC79" i="3"/>
  <c r="F79" i="3" s="1"/>
  <c r="AC80" i="3"/>
  <c r="F80" i="3" s="1"/>
  <c r="AC81" i="3"/>
  <c r="F81" i="3" s="1"/>
  <c r="AC82" i="3"/>
  <c r="F82" i="3" s="1"/>
  <c r="AE24" i="3"/>
  <c r="AD24" i="3"/>
  <c r="G24" i="3" s="1"/>
  <c r="AE47" i="3"/>
  <c r="K31" i="5"/>
  <c r="J31" i="5"/>
  <c r="I31" i="5"/>
  <c r="E31" i="5"/>
  <c r="K29" i="5"/>
  <c r="J29" i="5"/>
  <c r="I29" i="5"/>
  <c r="E29" i="5"/>
  <c r="O29" i="5" s="1"/>
  <c r="J28" i="5"/>
  <c r="I28" i="5"/>
  <c r="E28" i="5"/>
  <c r="J27" i="5"/>
  <c r="I27" i="5"/>
  <c r="E27" i="5"/>
  <c r="J26" i="5"/>
  <c r="I26" i="5"/>
  <c r="K25" i="5"/>
  <c r="J25" i="5"/>
  <c r="I25" i="5"/>
  <c r="E25" i="5"/>
  <c r="J24" i="5"/>
  <c r="I24" i="5"/>
  <c r="F22" i="5"/>
  <c r="E22" i="5"/>
  <c r="F21" i="5"/>
  <c r="E21" i="5"/>
  <c r="F20" i="5"/>
  <c r="E20" i="5"/>
  <c r="H19" i="5"/>
  <c r="H16" i="5" s="1"/>
  <c r="G19" i="5"/>
  <c r="F18" i="5"/>
  <c r="E18" i="5"/>
  <c r="F17" i="5"/>
  <c r="E17" i="5"/>
  <c r="G15" i="5"/>
  <c r="F15" i="5" s="1"/>
  <c r="G14" i="5"/>
  <c r="F14" i="5" s="1"/>
  <c r="G13" i="5"/>
  <c r="F13" i="5" s="1"/>
  <c r="W12" i="5"/>
  <c r="X12" i="5" s="1"/>
  <c r="V12" i="5"/>
  <c r="G12" i="5"/>
  <c r="F12" i="5" s="1"/>
  <c r="F11" i="5"/>
  <c r="E11" i="5"/>
  <c r="H10" i="5"/>
  <c r="H9" i="5" s="1"/>
  <c r="Y9" i="5" s="1"/>
  <c r="K8" i="5"/>
  <c r="J8" i="5"/>
  <c r="I8" i="5"/>
  <c r="R80" i="4"/>
  <c r="Q80" i="4"/>
  <c r="P80" i="4"/>
  <c r="O80" i="4"/>
  <c r="N80" i="4"/>
  <c r="F80" i="4"/>
  <c r="R79" i="4"/>
  <c r="Q79" i="4"/>
  <c r="P79" i="4"/>
  <c r="O79" i="4"/>
  <c r="N79" i="4"/>
  <c r="F79" i="4"/>
  <c r="R78" i="4"/>
  <c r="Q78" i="4"/>
  <c r="P78" i="4"/>
  <c r="O78" i="4"/>
  <c r="N78" i="4"/>
  <c r="F78" i="4"/>
  <c r="K77" i="4"/>
  <c r="J77" i="4"/>
  <c r="I77" i="4"/>
  <c r="H77" i="4"/>
  <c r="G77" i="4"/>
  <c r="E77" i="4"/>
  <c r="R76" i="4"/>
  <c r="Q76" i="4"/>
  <c r="P76" i="4"/>
  <c r="O76" i="4"/>
  <c r="N76" i="4"/>
  <c r="F76" i="4"/>
  <c r="R75" i="4"/>
  <c r="Q75" i="4"/>
  <c r="P75" i="4"/>
  <c r="O75" i="4"/>
  <c r="N75" i="4"/>
  <c r="F75" i="4"/>
  <c r="R74" i="4"/>
  <c r="Q74" i="4"/>
  <c r="P74" i="4"/>
  <c r="O74" i="4"/>
  <c r="N74" i="4"/>
  <c r="F74" i="4"/>
  <c r="R73" i="4"/>
  <c r="Q73" i="4"/>
  <c r="P73" i="4"/>
  <c r="O73" i="4"/>
  <c r="N73" i="4"/>
  <c r="F73" i="4"/>
  <c r="R72" i="4"/>
  <c r="Q72" i="4"/>
  <c r="P72" i="4"/>
  <c r="O72" i="4"/>
  <c r="N72" i="4"/>
  <c r="F72" i="4"/>
  <c r="R71" i="4"/>
  <c r="Q71" i="4"/>
  <c r="P71" i="4"/>
  <c r="O71" i="4"/>
  <c r="N71" i="4"/>
  <c r="F71" i="4"/>
  <c r="R70" i="4"/>
  <c r="Q70" i="4"/>
  <c r="P70" i="4"/>
  <c r="O70" i="4"/>
  <c r="N70" i="4"/>
  <c r="F70" i="4"/>
  <c r="R69" i="4"/>
  <c r="Q69" i="4"/>
  <c r="P69" i="4"/>
  <c r="O69" i="4"/>
  <c r="N69" i="4"/>
  <c r="F69" i="4"/>
  <c r="R68" i="4"/>
  <c r="Q68" i="4"/>
  <c r="P68" i="4"/>
  <c r="O68" i="4"/>
  <c r="N68" i="4"/>
  <c r="F68" i="4"/>
  <c r="R67" i="4"/>
  <c r="Q67" i="4"/>
  <c r="P67" i="4"/>
  <c r="O67" i="4"/>
  <c r="N67" i="4"/>
  <c r="F67" i="4"/>
  <c r="R66" i="4"/>
  <c r="Q66" i="4"/>
  <c r="P66" i="4"/>
  <c r="O66" i="4"/>
  <c r="N66" i="4"/>
  <c r="F66" i="4"/>
  <c r="R65" i="4"/>
  <c r="Q65" i="4"/>
  <c r="P65" i="4"/>
  <c r="O65" i="4"/>
  <c r="N65" i="4"/>
  <c r="F65" i="4"/>
  <c r="R64" i="4"/>
  <c r="Q64" i="4"/>
  <c r="P64" i="4"/>
  <c r="O64" i="4"/>
  <c r="N64" i="4"/>
  <c r="F64" i="4"/>
  <c r="R63" i="4"/>
  <c r="Q63" i="4"/>
  <c r="P63" i="4"/>
  <c r="O63" i="4"/>
  <c r="N63" i="4"/>
  <c r="F63" i="4"/>
  <c r="K62" i="4"/>
  <c r="J62" i="4"/>
  <c r="I62" i="4"/>
  <c r="H62" i="4"/>
  <c r="G62" i="4"/>
  <c r="E62" i="4"/>
  <c r="R61" i="4"/>
  <c r="Q61" i="4"/>
  <c r="P61" i="4"/>
  <c r="O61" i="4"/>
  <c r="N61" i="4"/>
  <c r="F61" i="4"/>
  <c r="R60" i="4"/>
  <c r="Q60" i="4"/>
  <c r="P60" i="4"/>
  <c r="O60" i="4"/>
  <c r="N60" i="4"/>
  <c r="F60" i="4"/>
  <c r="R59" i="4"/>
  <c r="Q59" i="4"/>
  <c r="P59" i="4"/>
  <c r="O59" i="4"/>
  <c r="N59" i="4"/>
  <c r="F59" i="4"/>
  <c r="R58" i="4"/>
  <c r="Q58" i="4"/>
  <c r="P58" i="4"/>
  <c r="O58" i="4"/>
  <c r="N58" i="4"/>
  <c r="F58" i="4"/>
  <c r="R57" i="4"/>
  <c r="Q57" i="4"/>
  <c r="P57" i="4"/>
  <c r="O57" i="4"/>
  <c r="N57" i="4"/>
  <c r="F57" i="4"/>
  <c r="R56" i="4"/>
  <c r="Q56" i="4"/>
  <c r="P56" i="4"/>
  <c r="O56" i="4"/>
  <c r="N56" i="4"/>
  <c r="F56" i="4"/>
  <c r="R55" i="4"/>
  <c r="Q55" i="4"/>
  <c r="P55" i="4"/>
  <c r="O55" i="4"/>
  <c r="N55" i="4"/>
  <c r="F55" i="4"/>
  <c r="R54" i="4"/>
  <c r="Q54" i="4"/>
  <c r="P54" i="4"/>
  <c r="O54" i="4"/>
  <c r="N54" i="4"/>
  <c r="F54" i="4"/>
  <c r="A54" i="4"/>
  <c r="A55" i="4" s="1"/>
  <c r="A56" i="4" s="1"/>
  <c r="A57" i="4" s="1"/>
  <c r="A58" i="4" s="1"/>
  <c r="A59" i="4" s="1"/>
  <c r="A60" i="4" s="1"/>
  <c r="A61" i="4" s="1"/>
  <c r="R53" i="4"/>
  <c r="Q53" i="4"/>
  <c r="P53" i="4"/>
  <c r="O53" i="4"/>
  <c r="N53" i="4"/>
  <c r="F53" i="4"/>
  <c r="K52" i="4"/>
  <c r="J52" i="4"/>
  <c r="I52" i="4"/>
  <c r="H52" i="4"/>
  <c r="G52" i="4"/>
  <c r="E52" i="4"/>
  <c r="Q51" i="4"/>
  <c r="P51" i="4"/>
  <c r="O51" i="4"/>
  <c r="G51" i="4"/>
  <c r="Q50" i="4"/>
  <c r="P50" i="4"/>
  <c r="O50" i="4"/>
  <c r="G50" i="4"/>
  <c r="K50" i="4" s="1"/>
  <c r="R50" i="4" s="1"/>
  <c r="Q49" i="4"/>
  <c r="P49" i="4"/>
  <c r="O49" i="4"/>
  <c r="N49" i="4"/>
  <c r="K49" i="4"/>
  <c r="R49" i="4" s="1"/>
  <c r="F49" i="4"/>
  <c r="Q48" i="4"/>
  <c r="P48" i="4"/>
  <c r="O48" i="4"/>
  <c r="N48" i="4"/>
  <c r="K48" i="4"/>
  <c r="R48" i="4" s="1"/>
  <c r="F48" i="4"/>
  <c r="J47" i="4"/>
  <c r="I47" i="4"/>
  <c r="H47" i="4"/>
  <c r="E47" i="4"/>
  <c r="Q46" i="4"/>
  <c r="P46" i="4"/>
  <c r="O46" i="4"/>
  <c r="N46" i="4"/>
  <c r="K46" i="4"/>
  <c r="R46" i="4" s="1"/>
  <c r="F46" i="4"/>
  <c r="Q45" i="4"/>
  <c r="P45" i="4"/>
  <c r="O45" i="4"/>
  <c r="N45" i="4"/>
  <c r="K45" i="4"/>
  <c r="R45" i="4" s="1"/>
  <c r="F45" i="4"/>
  <c r="Q44" i="4"/>
  <c r="P44" i="4"/>
  <c r="O44" i="4"/>
  <c r="N44" i="4"/>
  <c r="K44" i="4"/>
  <c r="R44" i="4" s="1"/>
  <c r="F44" i="4"/>
  <c r="Q43" i="4"/>
  <c r="P43" i="4"/>
  <c r="O43" i="4"/>
  <c r="N43" i="4"/>
  <c r="K43" i="4"/>
  <c r="R43" i="4" s="1"/>
  <c r="F43" i="4"/>
  <c r="Q42" i="4"/>
  <c r="P42" i="4"/>
  <c r="O42" i="4"/>
  <c r="N42" i="4"/>
  <c r="K42" i="4"/>
  <c r="R42" i="4" s="1"/>
  <c r="F42" i="4"/>
  <c r="Q41" i="4"/>
  <c r="P41" i="4"/>
  <c r="O41" i="4"/>
  <c r="N41" i="4"/>
  <c r="K41" i="4"/>
  <c r="R41" i="4" s="1"/>
  <c r="F41" i="4"/>
  <c r="J40" i="4"/>
  <c r="I40" i="4"/>
  <c r="H40" i="4"/>
  <c r="G40" i="4"/>
  <c r="E40" i="4"/>
  <c r="K39" i="4"/>
  <c r="F39" i="4"/>
  <c r="E39" i="4"/>
  <c r="P39" i="4" s="1"/>
  <c r="K38" i="4"/>
  <c r="E38" i="4" s="1"/>
  <c r="F38" i="4"/>
  <c r="K37" i="4"/>
  <c r="E37" i="4" s="1"/>
  <c r="P37" i="4" s="1"/>
  <c r="F37" i="4"/>
  <c r="K36" i="4"/>
  <c r="E36" i="4" s="1"/>
  <c r="F36" i="4"/>
  <c r="J35" i="4"/>
  <c r="I35" i="4"/>
  <c r="H35" i="4"/>
  <c r="G35" i="4"/>
  <c r="R34" i="4"/>
  <c r="Q34" i="4"/>
  <c r="P34" i="4"/>
  <c r="O34" i="4"/>
  <c r="N34" i="4"/>
  <c r="F34" i="4"/>
  <c r="R33" i="4"/>
  <c r="Q33" i="4"/>
  <c r="P33" i="4"/>
  <c r="O33" i="4"/>
  <c r="N33" i="4"/>
  <c r="F33" i="4"/>
  <c r="R32" i="4"/>
  <c r="Q32" i="4"/>
  <c r="P32" i="4"/>
  <c r="O32" i="4"/>
  <c r="N32" i="4"/>
  <c r="F32" i="4"/>
  <c r="R31" i="4"/>
  <c r="Q31" i="4"/>
  <c r="P31" i="4"/>
  <c r="O31" i="4"/>
  <c r="N31" i="4"/>
  <c r="F31" i="4"/>
  <c r="R30" i="4"/>
  <c r="Q30" i="4"/>
  <c r="P30" i="4"/>
  <c r="O30" i="4"/>
  <c r="N30" i="4"/>
  <c r="F30" i="4"/>
  <c r="K29" i="4"/>
  <c r="J29" i="4"/>
  <c r="I29" i="4"/>
  <c r="H29" i="4"/>
  <c r="G29" i="4"/>
  <c r="E29" i="4"/>
  <c r="K28" i="4"/>
  <c r="F28" i="4"/>
  <c r="E28" i="4"/>
  <c r="K27" i="4"/>
  <c r="E27" i="4" s="1"/>
  <c r="F27" i="4"/>
  <c r="K26" i="4"/>
  <c r="E26" i="4" s="1"/>
  <c r="F26" i="4"/>
  <c r="A26" i="4"/>
  <c r="A27" i="4" s="1"/>
  <c r="A28" i="4" s="1"/>
  <c r="K25" i="4"/>
  <c r="E25" i="4" s="1"/>
  <c r="N25" i="4" s="1"/>
  <c r="F25" i="4"/>
  <c r="J24" i="4"/>
  <c r="I24" i="4"/>
  <c r="H24" i="4"/>
  <c r="G24" i="4"/>
  <c r="H16" i="4"/>
  <c r="W12" i="4"/>
  <c r="X12" i="4" s="1"/>
  <c r="V12" i="4"/>
  <c r="H9" i="4"/>
  <c r="U10" i="4" s="1"/>
  <c r="K8" i="4"/>
  <c r="J8" i="4"/>
  <c r="I8" i="4"/>
  <c r="I8" i="7" l="1"/>
  <c r="AC24" i="3"/>
  <c r="F24" i="3" s="1"/>
  <c r="C16" i="7"/>
  <c r="E8" i="7"/>
  <c r="C10" i="7"/>
  <c r="D8" i="7"/>
  <c r="C9" i="7"/>
  <c r="C17" i="7"/>
  <c r="C15" i="7"/>
  <c r="C13" i="7"/>
  <c r="C11" i="7"/>
  <c r="R30" i="5"/>
  <c r="P30" i="5"/>
  <c r="E19" i="5"/>
  <c r="G16" i="5"/>
  <c r="F16" i="5" s="1"/>
  <c r="E16" i="5"/>
  <c r="E12" i="5"/>
  <c r="E13" i="5"/>
  <c r="E14" i="5"/>
  <c r="E15" i="5"/>
  <c r="P25" i="5"/>
  <c r="R25" i="5"/>
  <c r="F19" i="5"/>
  <c r="K27" i="5"/>
  <c r="R27" i="5" s="1"/>
  <c r="Q29" i="5"/>
  <c r="E26" i="5"/>
  <c r="O26" i="5" s="1"/>
  <c r="P28" i="5"/>
  <c r="H8" i="5"/>
  <c r="N27" i="5"/>
  <c r="P27" i="5"/>
  <c r="P31" i="5"/>
  <c r="R31" i="5"/>
  <c r="U9" i="5"/>
  <c r="I23" i="5"/>
  <c r="I7" i="5" s="1"/>
  <c r="O25" i="5"/>
  <c r="Q25" i="5"/>
  <c r="K26" i="5"/>
  <c r="O27" i="5"/>
  <c r="Q27" i="5"/>
  <c r="O28" i="5"/>
  <c r="Q28" i="5"/>
  <c r="N29" i="5"/>
  <c r="P29" i="5"/>
  <c r="R29" i="5"/>
  <c r="O31" i="5"/>
  <c r="Q31" i="5"/>
  <c r="M56" i="4"/>
  <c r="I23" i="4"/>
  <c r="M49" i="4"/>
  <c r="M54" i="4"/>
  <c r="M55" i="4"/>
  <c r="M67" i="4"/>
  <c r="M75" i="4"/>
  <c r="M79" i="4"/>
  <c r="M80" i="4"/>
  <c r="F35" i="4"/>
  <c r="M60" i="4"/>
  <c r="M63" i="4"/>
  <c r="M65" i="4"/>
  <c r="M66" i="4"/>
  <c r="F24" i="4"/>
  <c r="M33" i="4"/>
  <c r="M46" i="4"/>
  <c r="O47" i="4"/>
  <c r="Q47" i="4"/>
  <c r="M53" i="4"/>
  <c r="M58" i="4"/>
  <c r="M59" i="4"/>
  <c r="M71" i="4"/>
  <c r="M73" i="4"/>
  <c r="M74" i="4"/>
  <c r="O77" i="4"/>
  <c r="R25" i="4"/>
  <c r="O29" i="4"/>
  <c r="N77" i="4"/>
  <c r="P77" i="4"/>
  <c r="R77" i="4"/>
  <c r="G16" i="4"/>
  <c r="F16" i="4" s="1"/>
  <c r="E16" i="4"/>
  <c r="H23" i="4"/>
  <c r="J23" i="4"/>
  <c r="J7" i="4" s="1"/>
  <c r="M31" i="4"/>
  <c r="M32" i="4"/>
  <c r="F40" i="4"/>
  <c r="P40" i="4"/>
  <c r="M42" i="4"/>
  <c r="F52" i="4"/>
  <c r="P52" i="4"/>
  <c r="M57" i="4"/>
  <c r="M61" i="4"/>
  <c r="F62" i="4"/>
  <c r="P62" i="4"/>
  <c r="M69" i="4"/>
  <c r="M70" i="4"/>
  <c r="F77" i="4"/>
  <c r="Q77" i="4"/>
  <c r="M78" i="4"/>
  <c r="U10" i="5"/>
  <c r="R27" i="4"/>
  <c r="N29" i="4"/>
  <c r="P29" i="4"/>
  <c r="R29" i="4"/>
  <c r="R37" i="4"/>
  <c r="Q37" i="4"/>
  <c r="R39" i="4"/>
  <c r="Q39" i="4"/>
  <c r="N50" i="4"/>
  <c r="M50" i="4" s="1"/>
  <c r="I7" i="4"/>
  <c r="R26" i="4"/>
  <c r="R28" i="4"/>
  <c r="F29" i="4"/>
  <c r="Q29" i="4"/>
  <c r="M30" i="4"/>
  <c r="M34" i="4"/>
  <c r="K35" i="4"/>
  <c r="O37" i="4"/>
  <c r="R38" i="4"/>
  <c r="O39" i="4"/>
  <c r="N40" i="4"/>
  <c r="M44" i="4"/>
  <c r="P47" i="4"/>
  <c r="M48" i="4"/>
  <c r="F50" i="4"/>
  <c r="R52" i="4"/>
  <c r="R62" i="4"/>
  <c r="M64" i="4"/>
  <c r="M68" i="4"/>
  <c r="M72" i="4"/>
  <c r="M76" i="4"/>
  <c r="J23" i="5"/>
  <c r="J7" i="5" s="1"/>
  <c r="E24" i="5"/>
  <c r="K24" i="5"/>
  <c r="N25" i="5"/>
  <c r="N28" i="5"/>
  <c r="N31" i="5"/>
  <c r="Y9" i="4"/>
  <c r="Q26" i="4"/>
  <c r="O26" i="4"/>
  <c r="P26" i="4"/>
  <c r="Q27" i="4"/>
  <c r="O27" i="4"/>
  <c r="P27" i="4"/>
  <c r="Q28" i="4"/>
  <c r="O28" i="4"/>
  <c r="P28" i="4"/>
  <c r="Q36" i="4"/>
  <c r="O36" i="4"/>
  <c r="E35" i="4"/>
  <c r="Q35" i="4" s="1"/>
  <c r="P36" i="4"/>
  <c r="Q38" i="4"/>
  <c r="O38" i="4"/>
  <c r="P38" i="4"/>
  <c r="O40" i="4"/>
  <c r="Q40" i="4"/>
  <c r="O52" i="4"/>
  <c r="Q52" i="4"/>
  <c r="N52" i="4"/>
  <c r="O62" i="4"/>
  <c r="Q62" i="4"/>
  <c r="N62" i="4"/>
  <c r="H8" i="4"/>
  <c r="G9" i="4"/>
  <c r="F9" i="4" s="1"/>
  <c r="U9" i="4"/>
  <c r="Q25" i="4"/>
  <c r="O25" i="4"/>
  <c r="E24" i="4"/>
  <c r="N24" i="4" s="1"/>
  <c r="K24" i="4"/>
  <c r="P25" i="4"/>
  <c r="N26" i="4"/>
  <c r="N27" i="4"/>
  <c r="N28" i="4"/>
  <c r="P35" i="4"/>
  <c r="N36" i="4"/>
  <c r="R36" i="4"/>
  <c r="N38" i="4"/>
  <c r="K40" i="4"/>
  <c r="R40" i="4" s="1"/>
  <c r="M41" i="4"/>
  <c r="M43" i="4"/>
  <c r="M45" i="4"/>
  <c r="N51" i="4"/>
  <c r="K51" i="4"/>
  <c r="R51" i="4" s="1"/>
  <c r="F51" i="4"/>
  <c r="G47" i="4"/>
  <c r="N37" i="4"/>
  <c r="N39" i="4"/>
  <c r="R80" i="3"/>
  <c r="Q80" i="3"/>
  <c r="P80" i="3"/>
  <c r="O80" i="3"/>
  <c r="N80" i="3"/>
  <c r="R79" i="3"/>
  <c r="Q79" i="3"/>
  <c r="P79" i="3"/>
  <c r="O79" i="3"/>
  <c r="N79" i="3"/>
  <c r="R78" i="3"/>
  <c r="Q78" i="3"/>
  <c r="P78" i="3"/>
  <c r="O78" i="3"/>
  <c r="N78" i="3"/>
  <c r="K77" i="3"/>
  <c r="J77" i="3"/>
  <c r="I77" i="3"/>
  <c r="E77" i="3"/>
  <c r="R76" i="3"/>
  <c r="Q76" i="3"/>
  <c r="P76" i="3"/>
  <c r="O76" i="3"/>
  <c r="N76" i="3"/>
  <c r="R75" i="3"/>
  <c r="Q75" i="3"/>
  <c r="P75" i="3"/>
  <c r="O75" i="3"/>
  <c r="N75" i="3"/>
  <c r="R74" i="3"/>
  <c r="Q74" i="3"/>
  <c r="P74" i="3"/>
  <c r="O74" i="3"/>
  <c r="N74" i="3"/>
  <c r="R73" i="3"/>
  <c r="Q73" i="3"/>
  <c r="P73" i="3"/>
  <c r="O73" i="3"/>
  <c r="N73" i="3"/>
  <c r="R72" i="3"/>
  <c r="Q72" i="3"/>
  <c r="P72" i="3"/>
  <c r="O72" i="3"/>
  <c r="N72" i="3"/>
  <c r="R71" i="3"/>
  <c r="Q71" i="3"/>
  <c r="P71" i="3"/>
  <c r="O71" i="3"/>
  <c r="N71" i="3"/>
  <c r="R70" i="3"/>
  <c r="Q70" i="3"/>
  <c r="P70" i="3"/>
  <c r="O70" i="3"/>
  <c r="N70" i="3"/>
  <c r="R69" i="3"/>
  <c r="Q69" i="3"/>
  <c r="P69" i="3"/>
  <c r="O69" i="3"/>
  <c r="N69" i="3"/>
  <c r="R68" i="3"/>
  <c r="Q68" i="3"/>
  <c r="P68" i="3"/>
  <c r="O68" i="3"/>
  <c r="N68" i="3"/>
  <c r="R67" i="3"/>
  <c r="Q67" i="3"/>
  <c r="P67" i="3"/>
  <c r="O67" i="3"/>
  <c r="N67" i="3"/>
  <c r="R66" i="3"/>
  <c r="Q66" i="3"/>
  <c r="P66" i="3"/>
  <c r="O66" i="3"/>
  <c r="N66" i="3"/>
  <c r="R65" i="3"/>
  <c r="Q65" i="3"/>
  <c r="P65" i="3"/>
  <c r="O65" i="3"/>
  <c r="N65" i="3"/>
  <c r="R64" i="3"/>
  <c r="Q64" i="3"/>
  <c r="P64" i="3"/>
  <c r="O64" i="3"/>
  <c r="N64" i="3"/>
  <c r="R63" i="3"/>
  <c r="Q63" i="3"/>
  <c r="P63" i="3"/>
  <c r="O63" i="3"/>
  <c r="N63" i="3"/>
  <c r="K62" i="3"/>
  <c r="J62" i="3"/>
  <c r="I62" i="3"/>
  <c r="E62" i="3"/>
  <c r="R61" i="3"/>
  <c r="Q61" i="3"/>
  <c r="P61" i="3"/>
  <c r="O61" i="3"/>
  <c r="N61" i="3"/>
  <c r="R60" i="3"/>
  <c r="Q60" i="3"/>
  <c r="P60" i="3"/>
  <c r="O60" i="3"/>
  <c r="N60" i="3"/>
  <c r="R59" i="3"/>
  <c r="Q59" i="3"/>
  <c r="P59" i="3"/>
  <c r="O59" i="3"/>
  <c r="N59" i="3"/>
  <c r="M59" i="3" s="1"/>
  <c r="R58" i="3"/>
  <c r="Q58" i="3"/>
  <c r="P58" i="3"/>
  <c r="O58" i="3"/>
  <c r="N58" i="3"/>
  <c r="R57" i="3"/>
  <c r="Q57" i="3"/>
  <c r="P57" i="3"/>
  <c r="O57" i="3"/>
  <c r="N57" i="3"/>
  <c r="R56" i="3"/>
  <c r="Q56" i="3"/>
  <c r="P56" i="3"/>
  <c r="O56" i="3"/>
  <c r="N56" i="3"/>
  <c r="R55" i="3"/>
  <c r="Q55" i="3"/>
  <c r="P55" i="3"/>
  <c r="O55" i="3"/>
  <c r="N55" i="3"/>
  <c r="R54" i="3"/>
  <c r="Q54" i="3"/>
  <c r="P54" i="3"/>
  <c r="O54" i="3"/>
  <c r="N54" i="3"/>
  <c r="A54" i="3"/>
  <c r="A55" i="3" s="1"/>
  <c r="A56" i="3" s="1"/>
  <c r="A57" i="3" s="1"/>
  <c r="A58" i="3" s="1"/>
  <c r="A59" i="3" s="1"/>
  <c r="A60" i="3" s="1"/>
  <c r="A61" i="3" s="1"/>
  <c r="R53" i="3"/>
  <c r="Q53" i="3"/>
  <c r="P53" i="3"/>
  <c r="O53" i="3"/>
  <c r="N53" i="3"/>
  <c r="K52" i="3"/>
  <c r="J52" i="3"/>
  <c r="I52" i="3"/>
  <c r="E52" i="3"/>
  <c r="Q51" i="3"/>
  <c r="P51" i="3"/>
  <c r="O51" i="3"/>
  <c r="K51" i="3"/>
  <c r="R51" i="3" s="1"/>
  <c r="N51" i="3"/>
  <c r="Q50" i="3"/>
  <c r="P50" i="3"/>
  <c r="O50" i="3"/>
  <c r="Q49" i="3"/>
  <c r="P49" i="3"/>
  <c r="O49" i="3"/>
  <c r="N49" i="3"/>
  <c r="K49" i="3"/>
  <c r="R49" i="3" s="1"/>
  <c r="Q48" i="3"/>
  <c r="P48" i="3"/>
  <c r="O48" i="3"/>
  <c r="N48" i="3"/>
  <c r="K48" i="3"/>
  <c r="R48" i="3" s="1"/>
  <c r="J47" i="3"/>
  <c r="I47" i="3"/>
  <c r="E47" i="3"/>
  <c r="Q46" i="3"/>
  <c r="P46" i="3"/>
  <c r="O46" i="3"/>
  <c r="N46" i="3"/>
  <c r="K46" i="3"/>
  <c r="R46" i="3" s="1"/>
  <c r="Q45" i="3"/>
  <c r="P45" i="3"/>
  <c r="O45" i="3"/>
  <c r="N45" i="3"/>
  <c r="K45" i="3"/>
  <c r="R45" i="3" s="1"/>
  <c r="Q44" i="3"/>
  <c r="P44" i="3"/>
  <c r="O44" i="3"/>
  <c r="N44" i="3"/>
  <c r="K44" i="3"/>
  <c r="R44" i="3" s="1"/>
  <c r="Q43" i="3"/>
  <c r="P43" i="3"/>
  <c r="O43" i="3"/>
  <c r="N43" i="3"/>
  <c r="K43" i="3"/>
  <c r="R43" i="3" s="1"/>
  <c r="Q42" i="3"/>
  <c r="P42" i="3"/>
  <c r="O42" i="3"/>
  <c r="N42" i="3"/>
  <c r="K42" i="3"/>
  <c r="R42" i="3" s="1"/>
  <c r="Q41" i="3"/>
  <c r="P41" i="3"/>
  <c r="O41" i="3"/>
  <c r="N41" i="3"/>
  <c r="K41" i="3"/>
  <c r="R41" i="3" s="1"/>
  <c r="J40" i="3"/>
  <c r="I40" i="3"/>
  <c r="E40" i="3"/>
  <c r="K39" i="3"/>
  <c r="E39" i="3"/>
  <c r="N39" i="3" s="1"/>
  <c r="K38" i="3"/>
  <c r="E38" i="3"/>
  <c r="P38" i="3" s="1"/>
  <c r="K37" i="3"/>
  <c r="E37" i="3"/>
  <c r="N37" i="3" s="1"/>
  <c r="K36" i="3"/>
  <c r="K35" i="3" s="1"/>
  <c r="E36" i="3"/>
  <c r="P36" i="3" s="1"/>
  <c r="J35" i="3"/>
  <c r="I35" i="3"/>
  <c r="R34" i="3"/>
  <c r="Q34" i="3"/>
  <c r="P34" i="3"/>
  <c r="O34" i="3"/>
  <c r="N34" i="3"/>
  <c r="R33" i="3"/>
  <c r="Q33" i="3"/>
  <c r="P33" i="3"/>
  <c r="O33" i="3"/>
  <c r="N33" i="3"/>
  <c r="R32" i="3"/>
  <c r="Q32" i="3"/>
  <c r="P32" i="3"/>
  <c r="O32" i="3"/>
  <c r="N32" i="3"/>
  <c r="R31" i="3"/>
  <c r="Q31" i="3"/>
  <c r="P31" i="3"/>
  <c r="O31" i="3"/>
  <c r="N31" i="3"/>
  <c r="R30" i="3"/>
  <c r="Q30" i="3"/>
  <c r="P30" i="3"/>
  <c r="O30" i="3"/>
  <c r="N30" i="3"/>
  <c r="K29" i="3"/>
  <c r="J29" i="3"/>
  <c r="I29" i="3"/>
  <c r="E29" i="3"/>
  <c r="K28" i="3"/>
  <c r="E28" i="3" s="1"/>
  <c r="P28" i="3" s="1"/>
  <c r="K27" i="3"/>
  <c r="E27" i="3" s="1"/>
  <c r="P27" i="3" s="1"/>
  <c r="K26" i="3"/>
  <c r="A26" i="3"/>
  <c r="A27" i="3" s="1"/>
  <c r="A28" i="3" s="1"/>
  <c r="K25" i="3"/>
  <c r="E25" i="3" s="1"/>
  <c r="J24" i="3"/>
  <c r="I24" i="3"/>
  <c r="F22" i="3"/>
  <c r="E22" i="3"/>
  <c r="F21" i="3"/>
  <c r="E21" i="3"/>
  <c r="F20" i="3"/>
  <c r="E20" i="3"/>
  <c r="H19" i="3"/>
  <c r="G19" i="3"/>
  <c r="F18" i="3"/>
  <c r="E18" i="3"/>
  <c r="F17" i="3"/>
  <c r="E17" i="3"/>
  <c r="H16" i="3"/>
  <c r="G16" i="3"/>
  <c r="G15" i="3"/>
  <c r="F15" i="3"/>
  <c r="E15" i="3"/>
  <c r="G14" i="3"/>
  <c r="F14" i="3" s="1"/>
  <c r="G13" i="3"/>
  <c r="F13" i="3" s="1"/>
  <c r="E13" i="3"/>
  <c r="W12" i="3"/>
  <c r="X12" i="3" s="1"/>
  <c r="V12" i="3"/>
  <c r="G12" i="3"/>
  <c r="F12" i="3" s="1"/>
  <c r="E12" i="3"/>
  <c r="F11" i="3"/>
  <c r="E11" i="3"/>
  <c r="H10" i="3"/>
  <c r="H9" i="3"/>
  <c r="Y9" i="3" s="1"/>
  <c r="K8" i="3"/>
  <c r="J8" i="3"/>
  <c r="I8" i="3"/>
  <c r="H8" i="3"/>
  <c r="F19" i="3" l="1"/>
  <c r="M78" i="3"/>
  <c r="M55" i="3"/>
  <c r="M57" i="3"/>
  <c r="M61" i="3"/>
  <c r="M80" i="3"/>
  <c r="C8" i="7"/>
  <c r="M30" i="5"/>
  <c r="M31" i="5"/>
  <c r="N26" i="5"/>
  <c r="M25" i="5"/>
  <c r="E23" i="5"/>
  <c r="P23" i="5" s="1"/>
  <c r="M29" i="5"/>
  <c r="P26" i="5"/>
  <c r="Q26" i="5"/>
  <c r="R26" i="5"/>
  <c r="M27" i="5"/>
  <c r="M39" i="4"/>
  <c r="M28" i="4"/>
  <c r="M26" i="4"/>
  <c r="M25" i="4"/>
  <c r="H7" i="4"/>
  <c r="W7" i="4" s="1"/>
  <c r="M52" i="4"/>
  <c r="M40" i="4"/>
  <c r="E9" i="4"/>
  <c r="E8" i="4" s="1"/>
  <c r="M77" i="4"/>
  <c r="M66" i="3"/>
  <c r="M68" i="3"/>
  <c r="M70" i="3"/>
  <c r="M74" i="3"/>
  <c r="M76" i="3"/>
  <c r="M79" i="3"/>
  <c r="K40" i="3"/>
  <c r="M54" i="3"/>
  <c r="M56" i="3"/>
  <c r="M58" i="3"/>
  <c r="M60" i="3"/>
  <c r="M44" i="3"/>
  <c r="M46" i="3"/>
  <c r="E14" i="3"/>
  <c r="E19" i="3"/>
  <c r="E16" i="3" s="1"/>
  <c r="M41" i="3"/>
  <c r="M69" i="3"/>
  <c r="O27" i="3"/>
  <c r="O62" i="3"/>
  <c r="Q62" i="3"/>
  <c r="M29" i="4"/>
  <c r="M37" i="4"/>
  <c r="Q24" i="5"/>
  <c r="N24" i="5"/>
  <c r="K28" i="5"/>
  <c r="R28" i="5" s="1"/>
  <c r="M28" i="5" s="1"/>
  <c r="R24" i="5"/>
  <c r="O24" i="5"/>
  <c r="P24" i="5"/>
  <c r="H7" i="5"/>
  <c r="W7" i="5" s="1"/>
  <c r="N47" i="4"/>
  <c r="G23" i="4"/>
  <c r="F47" i="4"/>
  <c r="K47" i="4"/>
  <c r="R47" i="4" s="1"/>
  <c r="R24" i="4"/>
  <c r="K23" i="4"/>
  <c r="O35" i="4"/>
  <c r="M51" i="4"/>
  <c r="M38" i="4"/>
  <c r="M36" i="4"/>
  <c r="N35" i="4"/>
  <c r="M27" i="4"/>
  <c r="E23" i="4"/>
  <c r="Q24" i="4"/>
  <c r="G8" i="4"/>
  <c r="M62" i="4"/>
  <c r="R35" i="4"/>
  <c r="P24" i="4"/>
  <c r="O24" i="4"/>
  <c r="H23" i="3"/>
  <c r="H7" i="3" s="1"/>
  <c r="W7" i="3" s="1"/>
  <c r="U9" i="3"/>
  <c r="M32" i="3"/>
  <c r="M34" i="3"/>
  <c r="O38" i="3"/>
  <c r="M42" i="3"/>
  <c r="M45" i="3"/>
  <c r="M51" i="3"/>
  <c r="M64" i="3"/>
  <c r="M65" i="3"/>
  <c r="M72" i="3"/>
  <c r="M73" i="3"/>
  <c r="R37" i="3"/>
  <c r="N40" i="3"/>
  <c r="P40" i="3"/>
  <c r="R40" i="3"/>
  <c r="Q52" i="3"/>
  <c r="M63" i="3"/>
  <c r="M67" i="3"/>
  <c r="M71" i="3"/>
  <c r="M75" i="3"/>
  <c r="O77" i="3"/>
  <c r="Q77" i="3"/>
  <c r="U10" i="3"/>
  <c r="F16" i="3"/>
  <c r="P29" i="3"/>
  <c r="M31" i="3"/>
  <c r="O36" i="3"/>
  <c r="R39" i="3"/>
  <c r="O40" i="3"/>
  <c r="Q40" i="3"/>
  <c r="M43" i="3"/>
  <c r="P47" i="3"/>
  <c r="M48" i="3"/>
  <c r="N52" i="3"/>
  <c r="P52" i="3"/>
  <c r="R52" i="3"/>
  <c r="M53" i="3"/>
  <c r="N62" i="3"/>
  <c r="P62" i="3"/>
  <c r="R62" i="3"/>
  <c r="P77" i="3"/>
  <c r="R77" i="3"/>
  <c r="I23" i="3"/>
  <c r="I7" i="3" s="1"/>
  <c r="E35" i="3"/>
  <c r="R35" i="3" s="1"/>
  <c r="R36" i="3"/>
  <c r="Q36" i="3"/>
  <c r="R38" i="3"/>
  <c r="Q38" i="3"/>
  <c r="M33" i="3"/>
  <c r="G23" i="3"/>
  <c r="N29" i="3"/>
  <c r="M30" i="3"/>
  <c r="R27" i="3"/>
  <c r="Q27" i="3"/>
  <c r="O28" i="3"/>
  <c r="R28" i="3"/>
  <c r="Q28" i="3"/>
  <c r="N25" i="3"/>
  <c r="Q25" i="3"/>
  <c r="O25" i="3"/>
  <c r="P25" i="3"/>
  <c r="R25" i="3"/>
  <c r="Q29" i="3"/>
  <c r="R29" i="3"/>
  <c r="N50" i="3"/>
  <c r="K50" i="3"/>
  <c r="J23" i="3"/>
  <c r="K24" i="3"/>
  <c r="Q37" i="3"/>
  <c r="O37" i="3"/>
  <c r="P37" i="3"/>
  <c r="Q39" i="3"/>
  <c r="O39" i="3"/>
  <c r="P39" i="3"/>
  <c r="O47" i="3"/>
  <c r="Q47" i="3"/>
  <c r="N47" i="3"/>
  <c r="M49" i="3"/>
  <c r="O52" i="3"/>
  <c r="E26" i="3"/>
  <c r="E24" i="3" s="1"/>
  <c r="O29" i="3"/>
  <c r="N77" i="3"/>
  <c r="N27" i="3"/>
  <c r="N28" i="3"/>
  <c r="N36" i="3"/>
  <c r="N38" i="3"/>
  <c r="L20" i="1"/>
  <c r="K39" i="1"/>
  <c r="J39" i="1"/>
  <c r="I39" i="1"/>
  <c r="H39" i="1"/>
  <c r="G39" i="1"/>
  <c r="E39" i="1"/>
  <c r="D39" i="1"/>
  <c r="C39" i="1"/>
  <c r="B39" i="1"/>
  <c r="A39" i="1"/>
  <c r="K37" i="1"/>
  <c r="J37" i="1"/>
  <c r="I37" i="1"/>
  <c r="H37" i="1"/>
  <c r="G37" i="1"/>
  <c r="E37" i="1"/>
  <c r="D37" i="1"/>
  <c r="C37" i="1"/>
  <c r="B37" i="1"/>
  <c r="A37" i="1"/>
  <c r="K36" i="1"/>
  <c r="J36" i="1"/>
  <c r="I36" i="1"/>
  <c r="H36" i="1"/>
  <c r="G36" i="1"/>
  <c r="E36" i="1"/>
  <c r="D36" i="1"/>
  <c r="C36" i="1"/>
  <c r="B36" i="1"/>
  <c r="A36" i="1"/>
  <c r="K35" i="1"/>
  <c r="J35" i="1"/>
  <c r="I35" i="1"/>
  <c r="H35" i="1"/>
  <c r="G35" i="1"/>
  <c r="E35" i="1"/>
  <c r="D35" i="1"/>
  <c r="C35" i="1"/>
  <c r="B35" i="1"/>
  <c r="A35" i="1"/>
  <c r="K34" i="1"/>
  <c r="J34" i="1"/>
  <c r="I34" i="1"/>
  <c r="H34" i="1"/>
  <c r="G34" i="1"/>
  <c r="E34" i="1"/>
  <c r="D34" i="1"/>
  <c r="C34" i="1"/>
  <c r="B34" i="1"/>
  <c r="A34" i="1"/>
  <c r="K32" i="1"/>
  <c r="J32" i="1"/>
  <c r="I32" i="1"/>
  <c r="H32" i="1"/>
  <c r="G32" i="1"/>
  <c r="E32" i="1"/>
  <c r="D32" i="1"/>
  <c r="C32" i="1"/>
  <c r="B32" i="1"/>
  <c r="K31" i="1"/>
  <c r="J31" i="1"/>
  <c r="I31" i="1"/>
  <c r="H31" i="1"/>
  <c r="G31" i="1"/>
  <c r="E31" i="1"/>
  <c r="D31" i="1"/>
  <c r="C31" i="1"/>
  <c r="B31" i="1"/>
  <c r="B30" i="1"/>
  <c r="K29" i="1"/>
  <c r="J29" i="1"/>
  <c r="I29" i="1"/>
  <c r="H29" i="1"/>
  <c r="G29" i="1"/>
  <c r="E29" i="1"/>
  <c r="D29" i="1"/>
  <c r="C29" i="1"/>
  <c r="B29" i="1"/>
  <c r="A29" i="1"/>
  <c r="J27" i="1"/>
  <c r="I27" i="1"/>
  <c r="H27" i="1"/>
  <c r="G27" i="1"/>
  <c r="E27" i="1"/>
  <c r="D27" i="1"/>
  <c r="C27" i="1"/>
  <c r="B27" i="1"/>
  <c r="A27" i="1"/>
  <c r="J25" i="1"/>
  <c r="I25" i="1"/>
  <c r="H25" i="1"/>
  <c r="G25" i="1"/>
  <c r="E25" i="1"/>
  <c r="D25" i="1"/>
  <c r="C25" i="1"/>
  <c r="B25" i="1"/>
  <c r="A25" i="1"/>
  <c r="J24" i="1"/>
  <c r="I24" i="1"/>
  <c r="H24" i="1"/>
  <c r="G24" i="1"/>
  <c r="E24" i="1"/>
  <c r="D24" i="1"/>
  <c r="C24" i="1"/>
  <c r="B24" i="1"/>
  <c r="A24" i="1"/>
  <c r="J22" i="1"/>
  <c r="I22" i="1"/>
  <c r="H22" i="1"/>
  <c r="G22" i="1"/>
  <c r="D22" i="1"/>
  <c r="C22" i="1"/>
  <c r="B22" i="1"/>
  <c r="A22" i="1"/>
  <c r="K20" i="1"/>
  <c r="J20" i="1"/>
  <c r="I20" i="1"/>
  <c r="H20" i="1"/>
  <c r="G20" i="1"/>
  <c r="E20" i="1"/>
  <c r="D20" i="1"/>
  <c r="C20" i="1"/>
  <c r="B20" i="1"/>
  <c r="A20" i="1"/>
  <c r="J18" i="1"/>
  <c r="I18" i="1"/>
  <c r="H18" i="1"/>
  <c r="G18" i="1"/>
  <c r="D18" i="1"/>
  <c r="C18" i="1"/>
  <c r="B18" i="1"/>
  <c r="A18" i="1"/>
  <c r="M52" i="3" l="1"/>
  <c r="Q23" i="5"/>
  <c r="O23" i="5"/>
  <c r="N23" i="5"/>
  <c r="M26" i="5"/>
  <c r="K23" i="5"/>
  <c r="R23" i="5" s="1"/>
  <c r="E7" i="4"/>
  <c r="M47" i="4"/>
  <c r="O35" i="3"/>
  <c r="M77" i="3"/>
  <c r="M24" i="4"/>
  <c r="M24" i="5"/>
  <c r="F8" i="4"/>
  <c r="G7" i="4"/>
  <c r="Q23" i="4"/>
  <c r="P23" i="4"/>
  <c r="O23" i="4"/>
  <c r="M35" i="4"/>
  <c r="R23" i="4"/>
  <c r="K7" i="4"/>
  <c r="N23" i="4"/>
  <c r="F23" i="4"/>
  <c r="F23" i="3"/>
  <c r="M36" i="3"/>
  <c r="M27" i="3"/>
  <c r="Q35" i="3"/>
  <c r="N35" i="3"/>
  <c r="M62" i="3"/>
  <c r="M37" i="3"/>
  <c r="M40" i="3"/>
  <c r="M38" i="3"/>
  <c r="M39" i="3"/>
  <c r="P35" i="3"/>
  <c r="M29" i="3"/>
  <c r="M28" i="3"/>
  <c r="M25" i="3"/>
  <c r="P26" i="3"/>
  <c r="N26" i="3"/>
  <c r="Q26" i="3"/>
  <c r="O26" i="3"/>
  <c r="R50" i="3"/>
  <c r="M50" i="3" s="1"/>
  <c r="K47" i="3"/>
  <c r="R47" i="3" s="1"/>
  <c r="M47" i="3" s="1"/>
  <c r="R26" i="3"/>
  <c r="J7" i="3"/>
  <c r="H9" i="2"/>
  <c r="V11" i="2"/>
  <c r="W10" i="1"/>
  <c r="X11" i="1" s="1"/>
  <c r="X10" i="1"/>
  <c r="K7" i="5" l="1"/>
  <c r="M23" i="5"/>
  <c r="M23" i="4"/>
  <c r="V7" i="4"/>
  <c r="F7" i="4"/>
  <c r="M35" i="3"/>
  <c r="K23" i="3"/>
  <c r="M26" i="3"/>
  <c r="E23" i="3"/>
  <c r="N24" i="3"/>
  <c r="Q24" i="3"/>
  <c r="O24" i="3"/>
  <c r="P24" i="3"/>
  <c r="R24" i="3"/>
  <c r="W11" i="2"/>
  <c r="X11" i="2" s="1"/>
  <c r="O23" i="3" l="1"/>
  <c r="P23" i="3"/>
  <c r="N23" i="3"/>
  <c r="Q23" i="3"/>
  <c r="R23" i="3"/>
  <c r="K7" i="3"/>
  <c r="M24" i="3"/>
  <c r="F10" i="2"/>
  <c r="G11" i="1"/>
  <c r="G10" i="1"/>
  <c r="G9" i="2" s="1"/>
  <c r="G10" i="5" l="1"/>
  <c r="G10" i="3"/>
  <c r="M23" i="3"/>
  <c r="R79" i="2"/>
  <c r="Q79" i="2"/>
  <c r="P79" i="2"/>
  <c r="O79" i="2"/>
  <c r="N79" i="2"/>
  <c r="M79" i="2" s="1"/>
  <c r="F79" i="2"/>
  <c r="R78" i="2"/>
  <c r="Q78" i="2"/>
  <c r="P78" i="2"/>
  <c r="O78" i="2"/>
  <c r="N78" i="2"/>
  <c r="F78" i="2"/>
  <c r="R77" i="2"/>
  <c r="Q77" i="2"/>
  <c r="P77" i="2"/>
  <c r="O77" i="2"/>
  <c r="N77" i="2"/>
  <c r="M77" i="2" s="1"/>
  <c r="F77" i="2"/>
  <c r="K76" i="2"/>
  <c r="J76" i="2"/>
  <c r="I76" i="2"/>
  <c r="H76" i="2"/>
  <c r="G76" i="2"/>
  <c r="E76" i="2"/>
  <c r="R75" i="2"/>
  <c r="Q75" i="2"/>
  <c r="P75" i="2"/>
  <c r="O75" i="2"/>
  <c r="N75" i="2"/>
  <c r="M75" i="2" s="1"/>
  <c r="F75" i="2"/>
  <c r="R74" i="2"/>
  <c r="Q74" i="2"/>
  <c r="P74" i="2"/>
  <c r="O74" i="2"/>
  <c r="N74" i="2"/>
  <c r="F74" i="2"/>
  <c r="R73" i="2"/>
  <c r="Q73" i="2"/>
  <c r="P73" i="2"/>
  <c r="O73" i="2"/>
  <c r="N73" i="2"/>
  <c r="F73" i="2"/>
  <c r="R72" i="2"/>
  <c r="Q72" i="2"/>
  <c r="P72" i="2"/>
  <c r="O72" i="2"/>
  <c r="M72" i="2" s="1"/>
  <c r="N72" i="2"/>
  <c r="F72" i="2"/>
  <c r="R71" i="2"/>
  <c r="Q71" i="2"/>
  <c r="P71" i="2"/>
  <c r="O71" i="2"/>
  <c r="N71" i="2"/>
  <c r="F71" i="2"/>
  <c r="R70" i="2"/>
  <c r="Q70" i="2"/>
  <c r="P70" i="2"/>
  <c r="O70" i="2"/>
  <c r="N70" i="2"/>
  <c r="F70" i="2"/>
  <c r="R69" i="2"/>
  <c r="Q69" i="2"/>
  <c r="P69" i="2"/>
  <c r="O69" i="2"/>
  <c r="N69" i="2"/>
  <c r="F69" i="2"/>
  <c r="R68" i="2"/>
  <c r="Q68" i="2"/>
  <c r="P68" i="2"/>
  <c r="O68" i="2"/>
  <c r="N68" i="2"/>
  <c r="F68" i="2"/>
  <c r="R67" i="2"/>
  <c r="Q67" i="2"/>
  <c r="P67" i="2"/>
  <c r="O67" i="2"/>
  <c r="N67" i="2"/>
  <c r="F67" i="2"/>
  <c r="R66" i="2"/>
  <c r="Q66" i="2"/>
  <c r="P66" i="2"/>
  <c r="O66" i="2"/>
  <c r="N66" i="2"/>
  <c r="F66" i="2"/>
  <c r="R65" i="2"/>
  <c r="Q65" i="2"/>
  <c r="P65" i="2"/>
  <c r="O65" i="2"/>
  <c r="N65" i="2"/>
  <c r="F65" i="2"/>
  <c r="R64" i="2"/>
  <c r="Q64" i="2"/>
  <c r="P64" i="2"/>
  <c r="O64" i="2"/>
  <c r="N64" i="2"/>
  <c r="M64" i="2"/>
  <c r="F64" i="2"/>
  <c r="R63" i="2"/>
  <c r="Q63" i="2"/>
  <c r="P63" i="2"/>
  <c r="O63" i="2"/>
  <c r="N63" i="2"/>
  <c r="F63" i="2"/>
  <c r="R62" i="2"/>
  <c r="Q62" i="2"/>
  <c r="P62" i="2"/>
  <c r="O62" i="2"/>
  <c r="N62" i="2"/>
  <c r="F62" i="2"/>
  <c r="K61" i="2"/>
  <c r="J61" i="2"/>
  <c r="I61" i="2"/>
  <c r="H61" i="2"/>
  <c r="G61" i="2"/>
  <c r="E61" i="2"/>
  <c r="R61" i="2" s="1"/>
  <c r="R60" i="2"/>
  <c r="Q60" i="2"/>
  <c r="P60" i="2"/>
  <c r="O60" i="2"/>
  <c r="N60" i="2"/>
  <c r="F60" i="2"/>
  <c r="R59" i="2"/>
  <c r="Q59" i="2"/>
  <c r="P59" i="2"/>
  <c r="O59" i="2"/>
  <c r="N59" i="2"/>
  <c r="F59" i="2"/>
  <c r="R58" i="2"/>
  <c r="Q58" i="2"/>
  <c r="P58" i="2"/>
  <c r="O58" i="2"/>
  <c r="N58" i="2"/>
  <c r="F58" i="2"/>
  <c r="R57" i="2"/>
  <c r="Q57" i="2"/>
  <c r="P57" i="2"/>
  <c r="O57" i="2"/>
  <c r="N57" i="2"/>
  <c r="F57" i="2"/>
  <c r="R56" i="2"/>
  <c r="Q56" i="2"/>
  <c r="P56" i="2"/>
  <c r="O56" i="2"/>
  <c r="N56" i="2"/>
  <c r="F56" i="2"/>
  <c r="R55" i="2"/>
  <c r="Q55" i="2"/>
  <c r="P55" i="2"/>
  <c r="O55" i="2"/>
  <c r="N55" i="2"/>
  <c r="F55" i="2"/>
  <c r="R54" i="2"/>
  <c r="Q54" i="2"/>
  <c r="P54" i="2"/>
  <c r="O54" i="2"/>
  <c r="N54" i="2"/>
  <c r="M54" i="2" s="1"/>
  <c r="F54" i="2"/>
  <c r="R53" i="2"/>
  <c r="Q53" i="2"/>
  <c r="P53" i="2"/>
  <c r="O53" i="2"/>
  <c r="N53" i="2"/>
  <c r="F53" i="2"/>
  <c r="A53" i="2"/>
  <c r="R52" i="2"/>
  <c r="Q52" i="2"/>
  <c r="P52" i="2"/>
  <c r="O52" i="2"/>
  <c r="N52" i="2"/>
  <c r="F52" i="2"/>
  <c r="K51" i="2"/>
  <c r="J51" i="2"/>
  <c r="I51" i="2"/>
  <c r="H51" i="2"/>
  <c r="G51" i="2"/>
  <c r="E51" i="2"/>
  <c r="Q51" i="2" s="1"/>
  <c r="Q50" i="2"/>
  <c r="P50" i="2"/>
  <c r="O50" i="2"/>
  <c r="G50" i="2"/>
  <c r="N50" i="2" s="1"/>
  <c r="Q49" i="2"/>
  <c r="P49" i="2"/>
  <c r="O49" i="2"/>
  <c r="G49" i="2"/>
  <c r="K49" i="2" s="1"/>
  <c r="Q48" i="2"/>
  <c r="P48" i="2"/>
  <c r="O48" i="2"/>
  <c r="N48" i="2"/>
  <c r="K48" i="2"/>
  <c r="R48" i="2" s="1"/>
  <c r="F48" i="2"/>
  <c r="Q47" i="2"/>
  <c r="P47" i="2"/>
  <c r="O47" i="2"/>
  <c r="N47" i="2"/>
  <c r="K47" i="2"/>
  <c r="F47" i="2"/>
  <c r="J46" i="2"/>
  <c r="I46" i="2"/>
  <c r="H46" i="2"/>
  <c r="G46" i="2"/>
  <c r="E46" i="2"/>
  <c r="Q45" i="2"/>
  <c r="P45" i="2"/>
  <c r="O45" i="2"/>
  <c r="N45" i="2"/>
  <c r="K45" i="2"/>
  <c r="R45" i="2" s="1"/>
  <c r="F45" i="2"/>
  <c r="R44" i="2"/>
  <c r="Q44" i="2"/>
  <c r="P44" i="2"/>
  <c r="O44" i="2"/>
  <c r="N44" i="2"/>
  <c r="K44" i="2"/>
  <c r="F44" i="2"/>
  <c r="Q43" i="2"/>
  <c r="P43" i="2"/>
  <c r="O43" i="2"/>
  <c r="N43" i="2"/>
  <c r="K43" i="2"/>
  <c r="R43" i="2" s="1"/>
  <c r="F43" i="2"/>
  <c r="Q42" i="2"/>
  <c r="P42" i="2"/>
  <c r="O42" i="2"/>
  <c r="N42" i="2"/>
  <c r="K42" i="2"/>
  <c r="R42" i="2" s="1"/>
  <c r="F42" i="2"/>
  <c r="Q41" i="2"/>
  <c r="P41" i="2"/>
  <c r="O41" i="2"/>
  <c r="N41" i="2"/>
  <c r="K41" i="2"/>
  <c r="F41" i="2"/>
  <c r="Q40" i="2"/>
  <c r="P40" i="2"/>
  <c r="O40" i="2"/>
  <c r="N40" i="2"/>
  <c r="K40" i="2"/>
  <c r="K24" i="1" s="1"/>
  <c r="F40" i="2"/>
  <c r="J39" i="2"/>
  <c r="I39" i="2"/>
  <c r="H39" i="2"/>
  <c r="G39" i="2"/>
  <c r="E39" i="2"/>
  <c r="Q39" i="2" s="1"/>
  <c r="K38" i="2"/>
  <c r="E38" i="2" s="1"/>
  <c r="F38" i="2"/>
  <c r="K37" i="2"/>
  <c r="F37" i="2"/>
  <c r="K36" i="2"/>
  <c r="F36" i="2"/>
  <c r="K35" i="2"/>
  <c r="K22" i="1" s="1"/>
  <c r="F35" i="2"/>
  <c r="J34" i="2"/>
  <c r="I34" i="2"/>
  <c r="H34" i="2"/>
  <c r="G34" i="2"/>
  <c r="R33" i="2"/>
  <c r="Q33" i="2"/>
  <c r="P33" i="2"/>
  <c r="O33" i="2"/>
  <c r="N33" i="2"/>
  <c r="F33" i="2"/>
  <c r="R32" i="2"/>
  <c r="Q32" i="2"/>
  <c r="P32" i="2"/>
  <c r="O32" i="2"/>
  <c r="N32" i="2"/>
  <c r="F32" i="2"/>
  <c r="R31" i="2"/>
  <c r="Q31" i="2"/>
  <c r="P31" i="2"/>
  <c r="O31" i="2"/>
  <c r="N31" i="2"/>
  <c r="F31" i="2"/>
  <c r="R30" i="2"/>
  <c r="Q30" i="2"/>
  <c r="P30" i="2"/>
  <c r="O30" i="2"/>
  <c r="N30" i="2"/>
  <c r="M30" i="2"/>
  <c r="F30" i="2"/>
  <c r="R29" i="2"/>
  <c r="Q29" i="2"/>
  <c r="P29" i="2"/>
  <c r="O29" i="2"/>
  <c r="N29" i="2"/>
  <c r="F29" i="2"/>
  <c r="K28" i="2"/>
  <c r="J28" i="2"/>
  <c r="I28" i="2"/>
  <c r="H28" i="2"/>
  <c r="G28" i="2"/>
  <c r="N28" i="2" s="1"/>
  <c r="E28" i="2"/>
  <c r="K27" i="2"/>
  <c r="F27" i="2"/>
  <c r="K26" i="2"/>
  <c r="E26" i="2" s="1"/>
  <c r="N26" i="2" s="1"/>
  <c r="F26" i="2"/>
  <c r="K25" i="2"/>
  <c r="F25" i="2"/>
  <c r="A25" i="2"/>
  <c r="A26" i="2" s="1"/>
  <c r="A27" i="2" s="1"/>
  <c r="K24" i="2"/>
  <c r="F24" i="2"/>
  <c r="E24" i="2"/>
  <c r="J23" i="2"/>
  <c r="J22" i="2" s="1"/>
  <c r="I23" i="2"/>
  <c r="H23" i="2"/>
  <c r="G23" i="2"/>
  <c r="F23" i="2" s="1"/>
  <c r="I22" i="2"/>
  <c r="I6" i="2" s="1"/>
  <c r="F21" i="2"/>
  <c r="E21" i="2"/>
  <c r="F20" i="2"/>
  <c r="E20" i="2"/>
  <c r="F19" i="2"/>
  <c r="E19" i="2"/>
  <c r="H18" i="2"/>
  <c r="H15" i="2" s="1"/>
  <c r="G18" i="2"/>
  <c r="E18" i="2" s="1"/>
  <c r="F17" i="2"/>
  <c r="E17" i="2"/>
  <c r="F16" i="2"/>
  <c r="E16" i="2"/>
  <c r="G15" i="2"/>
  <c r="G14" i="2"/>
  <c r="F14" i="2" s="1"/>
  <c r="G13" i="2"/>
  <c r="F13" i="2" s="1"/>
  <c r="G12" i="2"/>
  <c r="F12" i="2" s="1"/>
  <c r="G11" i="2"/>
  <c r="F11" i="2" s="1"/>
  <c r="E10" i="2"/>
  <c r="F9" i="2"/>
  <c r="H8" i="2"/>
  <c r="K7" i="2"/>
  <c r="J7" i="2"/>
  <c r="I7" i="2"/>
  <c r="R38" i="2" l="1"/>
  <c r="O38" i="2"/>
  <c r="F15" i="2"/>
  <c r="H22" i="2"/>
  <c r="M32" i="2"/>
  <c r="R40" i="2"/>
  <c r="M40" i="2" s="1"/>
  <c r="P46" i="2"/>
  <c r="M68" i="2"/>
  <c r="R24" i="2"/>
  <c r="E18" i="1"/>
  <c r="R47" i="2"/>
  <c r="M47" i="2" s="1"/>
  <c r="K27" i="1"/>
  <c r="E15" i="2"/>
  <c r="K23" i="2"/>
  <c r="K18" i="1"/>
  <c r="P28" i="2"/>
  <c r="M29" i="2"/>
  <c r="M42" i="2"/>
  <c r="Q46" i="2"/>
  <c r="M48" i="2"/>
  <c r="M55" i="2"/>
  <c r="F61" i="2"/>
  <c r="M63" i="2"/>
  <c r="M66" i="2"/>
  <c r="F10" i="3"/>
  <c r="E10" i="3"/>
  <c r="E9" i="3" s="1"/>
  <c r="E8" i="3" s="1"/>
  <c r="E7" i="3" s="1"/>
  <c r="G9" i="3"/>
  <c r="M33" i="2"/>
  <c r="R41" i="2"/>
  <c r="K25" i="1"/>
  <c r="M44" i="2"/>
  <c r="M52" i="2"/>
  <c r="A54" i="2"/>
  <c r="A30" i="1"/>
  <c r="M69" i="2"/>
  <c r="M71" i="2"/>
  <c r="F10" i="5"/>
  <c r="G9" i="5"/>
  <c r="E10" i="5"/>
  <c r="E9" i="5" s="1"/>
  <c r="E8" i="5" s="1"/>
  <c r="E7" i="5" s="1"/>
  <c r="R26" i="2"/>
  <c r="R28" i="2"/>
  <c r="O39" i="2"/>
  <c r="O46" i="2"/>
  <c r="N49" i="2"/>
  <c r="O51" i="2"/>
  <c r="P61" i="2"/>
  <c r="M74" i="2"/>
  <c r="N76" i="2"/>
  <c r="P76" i="2"/>
  <c r="R76" i="2"/>
  <c r="E11" i="2"/>
  <c r="E12" i="2"/>
  <c r="E13" i="2"/>
  <c r="E14" i="2"/>
  <c r="F18" i="2"/>
  <c r="G22" i="2"/>
  <c r="O28" i="2"/>
  <c r="Q28" i="2"/>
  <c r="M31" i="2"/>
  <c r="Q38" i="2"/>
  <c r="N39" i="2"/>
  <c r="P39" i="2"/>
  <c r="K39" i="2"/>
  <c r="R39" i="2" s="1"/>
  <c r="M39" i="2" s="1"/>
  <c r="M41" i="2"/>
  <c r="M43" i="2"/>
  <c r="M45" i="2"/>
  <c r="N46" i="2"/>
  <c r="F49" i="2"/>
  <c r="N51" i="2"/>
  <c r="P51" i="2"/>
  <c r="R51" i="2"/>
  <c r="M53" i="2"/>
  <c r="M56" i="2"/>
  <c r="M57" i="2"/>
  <c r="M58" i="2"/>
  <c r="M59" i="2"/>
  <c r="M60" i="2"/>
  <c r="O61" i="2"/>
  <c r="Q61" i="2"/>
  <c r="M62" i="2"/>
  <c r="M65" i="2"/>
  <c r="M67" i="2"/>
  <c r="M70" i="2"/>
  <c r="M73" i="2"/>
  <c r="F76" i="2"/>
  <c r="O76" i="2"/>
  <c r="M76" i="2" s="1"/>
  <c r="Q76" i="2"/>
  <c r="M78" i="2"/>
  <c r="G8" i="2"/>
  <c r="U8" i="2"/>
  <c r="H7" i="2"/>
  <c r="H6" i="2" s="1"/>
  <c r="W6" i="2" s="1"/>
  <c r="Y8" i="2"/>
  <c r="U9" i="2"/>
  <c r="J6" i="2"/>
  <c r="M28" i="2"/>
  <c r="O24" i="2"/>
  <c r="O26" i="2"/>
  <c r="K34" i="2"/>
  <c r="E36" i="2"/>
  <c r="R36" i="2" s="1"/>
  <c r="P38" i="2"/>
  <c r="F39" i="2"/>
  <c r="K50" i="2"/>
  <c r="R50" i="2" s="1"/>
  <c r="M50" i="2" s="1"/>
  <c r="F51" i="2"/>
  <c r="P24" i="2"/>
  <c r="E25" i="2"/>
  <c r="P26" i="2"/>
  <c r="E27" i="2"/>
  <c r="E37" i="2"/>
  <c r="F46" i="2"/>
  <c r="R49" i="2"/>
  <c r="M49" i="2" s="1"/>
  <c r="E9" i="2"/>
  <c r="E23" i="2"/>
  <c r="P23" i="2" s="1"/>
  <c r="Q24" i="2"/>
  <c r="Q26" i="2"/>
  <c r="N38" i="2"/>
  <c r="F50" i="2"/>
  <c r="N24" i="2"/>
  <c r="F28" i="2"/>
  <c r="F34" i="2"/>
  <c r="E35" i="2"/>
  <c r="E22" i="1" s="1"/>
  <c r="N61" i="2"/>
  <c r="G8" i="3" l="1"/>
  <c r="F9" i="3"/>
  <c r="M38" i="2"/>
  <c r="F9" i="5"/>
  <c r="G8" i="5"/>
  <c r="E8" i="2"/>
  <c r="E7" i="2" s="1"/>
  <c r="A55" i="2"/>
  <c r="A31" i="1"/>
  <c r="M61" i="2"/>
  <c r="F22" i="2"/>
  <c r="M26" i="2"/>
  <c r="M51" i="2"/>
  <c r="K46" i="2"/>
  <c r="R46" i="2" s="1"/>
  <c r="M46" i="2" s="1"/>
  <c r="P37" i="2"/>
  <c r="O37" i="2"/>
  <c r="N37" i="2"/>
  <c r="Q37" i="2"/>
  <c r="P27" i="2"/>
  <c r="O27" i="2"/>
  <c r="N27" i="2"/>
  <c r="Q27" i="2"/>
  <c r="Q23" i="2"/>
  <c r="R27" i="2"/>
  <c r="N35" i="2"/>
  <c r="Q35" i="2"/>
  <c r="E34" i="2"/>
  <c r="E22" i="2" s="1"/>
  <c r="P35" i="2"/>
  <c r="O35" i="2"/>
  <c r="O23" i="2"/>
  <c r="N23" i="2"/>
  <c r="R37" i="2"/>
  <c r="Q36" i="2"/>
  <c r="P36" i="2"/>
  <c r="O36" i="2"/>
  <c r="N36" i="2"/>
  <c r="M24" i="2"/>
  <c r="P25" i="2"/>
  <c r="O25" i="2"/>
  <c r="N25" i="2"/>
  <c r="Q25" i="2"/>
  <c r="G7" i="2"/>
  <c r="F8" i="2"/>
  <c r="R35" i="2"/>
  <c r="R23" i="2"/>
  <c r="R25" i="2"/>
  <c r="K22" i="2" l="1"/>
  <c r="K6" i="2" s="1"/>
  <c r="A56" i="2"/>
  <c r="A57" i="2" s="1"/>
  <c r="A58" i="2" s="1"/>
  <c r="A59" i="2" s="1"/>
  <c r="A60" i="2" s="1"/>
  <c r="A32" i="1"/>
  <c r="F8" i="5"/>
  <c r="G7" i="5"/>
  <c r="F8" i="3"/>
  <c r="G7" i="3"/>
  <c r="M23" i="2"/>
  <c r="Q22" i="2"/>
  <c r="P22" i="2"/>
  <c r="N22" i="2"/>
  <c r="O22" i="2"/>
  <c r="M27" i="2"/>
  <c r="M25" i="2"/>
  <c r="N34" i="2"/>
  <c r="Q34" i="2"/>
  <c r="O34" i="2"/>
  <c r="P34" i="2"/>
  <c r="R34" i="2"/>
  <c r="M37" i="2"/>
  <c r="R22" i="2"/>
  <c r="M36" i="2"/>
  <c r="F7" i="2"/>
  <c r="G6" i="2"/>
  <c r="M35" i="2"/>
  <c r="E6" i="2"/>
  <c r="V7" i="3" l="1"/>
  <c r="F7" i="3"/>
  <c r="F7" i="5"/>
  <c r="V7" i="5"/>
  <c r="V6" i="2"/>
  <c r="F6" i="2"/>
  <c r="M22" i="2"/>
  <c r="M34" i="2"/>
  <c r="M39" i="1" l="1"/>
  <c r="K38" i="1"/>
  <c r="I38" i="1"/>
  <c r="G38" i="1"/>
  <c r="E38" i="1"/>
  <c r="F35" i="1"/>
  <c r="H33" i="1"/>
  <c r="F31" i="1"/>
  <c r="F30" i="1"/>
  <c r="K26" i="1"/>
  <c r="G26" i="1"/>
  <c r="E26" i="1"/>
  <c r="I26" i="1"/>
  <c r="H26" i="1"/>
  <c r="N24" i="1"/>
  <c r="G23" i="1"/>
  <c r="H21" i="1"/>
  <c r="E21" i="1"/>
  <c r="K21" i="1"/>
  <c r="G21" i="1"/>
  <c r="K19" i="1"/>
  <c r="Q19" i="1" s="1"/>
  <c r="I19" i="1"/>
  <c r="O19" i="1" s="1"/>
  <c r="H19" i="1"/>
  <c r="G19" i="1"/>
  <c r="E19" i="1"/>
  <c r="J19" i="1"/>
  <c r="P19" i="1" s="1"/>
  <c r="J17" i="1"/>
  <c r="P18" i="1"/>
  <c r="F18" i="1"/>
  <c r="O18" i="1"/>
  <c r="H17" i="1"/>
  <c r="N17" i="1" s="1"/>
  <c r="M16" i="1"/>
  <c r="F15" i="1"/>
  <c r="E15" i="1"/>
  <c r="F14" i="1"/>
  <c r="E14" i="1"/>
  <c r="F13" i="1"/>
  <c r="E13" i="1"/>
  <c r="K12" i="1"/>
  <c r="J12" i="1"/>
  <c r="I12" i="1"/>
  <c r="H12" i="1"/>
  <c r="G12" i="1"/>
  <c r="E11" i="1"/>
  <c r="F11" i="1"/>
  <c r="E10" i="1"/>
  <c r="F10" i="1"/>
  <c r="T9" i="1"/>
  <c r="F9" i="1"/>
  <c r="E9" i="1"/>
  <c r="K8" i="1"/>
  <c r="J8" i="1"/>
  <c r="J7" i="1" s="1"/>
  <c r="I8" i="1"/>
  <c r="H8" i="1"/>
  <c r="H7" i="1" s="1"/>
  <c r="E12" i="1" l="1"/>
  <c r="H23" i="1"/>
  <c r="J33" i="1"/>
  <c r="O38" i="1"/>
  <c r="N39" i="1"/>
  <c r="I7" i="1"/>
  <c r="K7" i="1"/>
  <c r="F12" i="1"/>
  <c r="F24" i="1"/>
  <c r="F23" i="1"/>
  <c r="O24" i="1"/>
  <c r="F25" i="1"/>
  <c r="F22" i="1"/>
  <c r="I28" i="1"/>
  <c r="F34" i="1"/>
  <c r="F37" i="1"/>
  <c r="F39" i="1"/>
  <c r="P39" i="1"/>
  <c r="P17" i="1"/>
  <c r="O22" i="1"/>
  <c r="N25" i="1"/>
  <c r="O25" i="1"/>
  <c r="J28" i="1"/>
  <c r="I33" i="1"/>
  <c r="T10" i="1"/>
  <c r="T12" i="1" s="1"/>
  <c r="E8" i="1"/>
  <c r="S8" i="1" s="1"/>
  <c r="N19" i="1"/>
  <c r="F19" i="1"/>
  <c r="Q21" i="1"/>
  <c r="P27" i="1"/>
  <c r="P22" i="1"/>
  <c r="P24" i="1"/>
  <c r="P25" i="1"/>
  <c r="N26" i="1"/>
  <c r="F29" i="1"/>
  <c r="K28" i="1"/>
  <c r="E33" i="1"/>
  <c r="P33" i="1" s="1"/>
  <c r="J38" i="1"/>
  <c r="P38" i="1" s="1"/>
  <c r="Q39" i="1"/>
  <c r="E17" i="1"/>
  <c r="R18" i="1"/>
  <c r="F20" i="1"/>
  <c r="I21" i="1"/>
  <c r="O21" i="1" s="1"/>
  <c r="Q22" i="1"/>
  <c r="I23" i="1"/>
  <c r="M24" i="1"/>
  <c r="Q24" i="1"/>
  <c r="M25" i="1"/>
  <c r="Q25" i="1"/>
  <c r="O26" i="1"/>
  <c r="N27" i="1"/>
  <c r="H28" i="1"/>
  <c r="Q38" i="1"/>
  <c r="N33" i="1"/>
  <c r="I17" i="1"/>
  <c r="O17" i="1" s="1"/>
  <c r="Q18" i="1"/>
  <c r="G17" i="1"/>
  <c r="F17" i="1" s="1"/>
  <c r="K17" i="1"/>
  <c r="Q17" i="1" s="1"/>
  <c r="J21" i="1"/>
  <c r="P21" i="1" s="1"/>
  <c r="E23" i="1"/>
  <c r="K23" i="1"/>
  <c r="J26" i="1"/>
  <c r="P26" i="1" s="1"/>
  <c r="O27" i="1"/>
  <c r="E28" i="1"/>
  <c r="O28" i="1" s="1"/>
  <c r="F32" i="1"/>
  <c r="F36" i="1"/>
  <c r="K33" i="1"/>
  <c r="O39" i="1"/>
  <c r="S12" i="1"/>
  <c r="N21" i="1"/>
  <c r="F21" i="1"/>
  <c r="F26" i="1"/>
  <c r="Q26" i="1"/>
  <c r="G33" i="1"/>
  <c r="F33" i="1" s="1"/>
  <c r="H38" i="1"/>
  <c r="N22" i="1"/>
  <c r="Q27" i="1"/>
  <c r="G8" i="1"/>
  <c r="N18" i="1"/>
  <c r="F27" i="1"/>
  <c r="G28" i="1"/>
  <c r="J23" i="1"/>
  <c r="E16" i="1" l="1"/>
  <c r="K16" i="1"/>
  <c r="Q16" i="1" s="1"/>
  <c r="F28" i="1"/>
  <c r="J16" i="1"/>
  <c r="P16" i="1" s="1"/>
  <c r="T11" i="1"/>
  <c r="E7" i="1"/>
  <c r="E6" i="1" s="1"/>
  <c r="N28" i="1"/>
  <c r="K6" i="1"/>
  <c r="Q33" i="1"/>
  <c r="P28" i="1"/>
  <c r="O33" i="1"/>
  <c r="N23" i="1"/>
  <c r="P23" i="1"/>
  <c r="M18" i="1"/>
  <c r="O23" i="1"/>
  <c r="Q28" i="1"/>
  <c r="Q23" i="1"/>
  <c r="I16" i="1"/>
  <c r="G7" i="1"/>
  <c r="F8" i="1"/>
  <c r="F38" i="1"/>
  <c r="N38" i="1"/>
  <c r="H16" i="1"/>
  <c r="H6" i="1" s="1"/>
  <c r="G16" i="1"/>
  <c r="G6" i="1" s="1"/>
  <c r="V6" i="1" s="1"/>
  <c r="J6" i="1" l="1"/>
  <c r="O16" i="1"/>
  <c r="I6" i="1"/>
  <c r="F16" i="1"/>
  <c r="M17" i="1"/>
  <c r="M19" i="1" s="1"/>
  <c r="N16" i="1"/>
  <c r="F7" i="1"/>
  <c r="F6" i="1" l="1"/>
</calcChain>
</file>

<file path=xl/sharedStrings.xml><?xml version="1.0" encoding="utf-8"?>
<sst xmlns="http://schemas.openxmlformats.org/spreadsheetml/2006/main" count="1286" uniqueCount="179">
  <si>
    <t>Biểu 2. DANH MỤC XÂY DỰNG KẾ HOẠCH VỐN ĐẦU TƯ PHÁT TRIỂN THỰC HIỆN CHƯƠNG TRÌNH MỤC TIÊU QUỐC GIA NĂM 2022</t>
  </si>
  <si>
    <t>ĐVT: triệu đồng</t>
  </si>
  <si>
    <t>Stt</t>
  </si>
  <si>
    <t>Tên dự án</t>
  </si>
  <si>
    <t>Địa điểm</t>
  </si>
  <si>
    <t>Quy mô dự kiến</t>
  </si>
  <si>
    <t xml:space="preserve">Tổng mức đầu tư dự kiến (tất cả các nguồn vốn) </t>
  </si>
  <si>
    <t>Kế hoạch năm 2022 phân bổ</t>
  </si>
  <si>
    <t>Ghi chú</t>
  </si>
  <si>
    <t>Tổng cộng (NS trung ương và NS tỉnh)</t>
  </si>
  <si>
    <t xml:space="preserve">Ngân sách trung ương hỗ trợ </t>
  </si>
  <si>
    <t xml:space="preserve">Ngân sách tỉnh hỗ trợ </t>
  </si>
  <si>
    <t xml:space="preserve">Ngân sách thành phố </t>
  </si>
  <si>
    <t xml:space="preserve">Ngân sách xã, phường </t>
  </si>
  <si>
    <t xml:space="preserve">Vốn huy động đóng góp </t>
  </si>
  <si>
    <t>TỔNG KẾ HOẠCH VỐN  CHƯƠNG TRÌNH MTQG</t>
  </si>
  <si>
    <t>Phòng Tài chính - Kế hoạch tổng hợp</t>
  </si>
  <si>
    <t>A</t>
  </si>
  <si>
    <t>Chương trình MTQG phát triển kinh tế - xã hội vùng Đồng bào dân tộc thiểu số và miền núi</t>
  </si>
  <si>
    <t>I</t>
  </si>
  <si>
    <t>Dự án 1: Giải quyết tình trạng thiếu đất ở, nhà ở, đất sản xuất, nước sinh hoạt</t>
  </si>
  <si>
    <t xml:space="preserve">Văn phòng HĐND -UBND Thành phố theo dõi </t>
  </si>
  <si>
    <t>UBND xã Gào</t>
  </si>
  <si>
    <t>Hỗ trợ đất ở cho 04 hộ</t>
  </si>
  <si>
    <t xml:space="preserve">UBND xã Biển Hồ </t>
  </si>
  <si>
    <t>II</t>
  </si>
  <si>
    <t>Dự án 6: Bảo tồn, phát huy giá trị văn hóa truyền thống tốt đẹp của các DTTS gắn với phát triển du lịch</t>
  </si>
  <si>
    <t xml:space="preserve">Phòng Văn hóa - Thông tin theo dõi </t>
  </si>
  <si>
    <t>UBND xã Tân Sơn</t>
  </si>
  <si>
    <t>Hỗ trợ đầu tư xây dựng thiết chế văn hóa (trang bị thiết bị âm thanh)</t>
  </si>
  <si>
    <t>UBND xã Biển Hồ</t>
  </si>
  <si>
    <t>Hỗ trợ đầu tư sửa chữa, bảo tồn giọt nước làng IaNueng, xã Biển Hồ</t>
  </si>
  <si>
    <t>B</t>
  </si>
  <si>
    <t>Chương trình MTQG xây dựng Nông thôn mới</t>
  </si>
  <si>
    <t xml:space="preserve">Phòng Kinh tế theo dõi </t>
  </si>
  <si>
    <t>III</t>
  </si>
  <si>
    <t>UBND xã An Phú</t>
  </si>
  <si>
    <t>IV</t>
  </si>
  <si>
    <t>UBND xã Ia Kênh</t>
  </si>
  <si>
    <t>V</t>
  </si>
  <si>
    <t>VI</t>
  </si>
  <si>
    <t>UBND xã Diên Phú</t>
  </si>
  <si>
    <t>Thôn 1</t>
  </si>
  <si>
    <t>- Kè chắn đất: tổng chiều dài D13.
- Sân bê tông + sân thể dục: tổng diện tích 934,05m2.
- Bó vỉa  + bồn hoa tổng chiều dài: 207,4md</t>
  </si>
  <si>
    <t>VII</t>
  </si>
  <si>
    <t>UBND xã Trà Đa</t>
  </si>
  <si>
    <t>VIII</t>
  </si>
  <si>
    <t>UBND xã Chư Ă</t>
  </si>
  <si>
    <t>Kế hoạch vốn giai đoạn 2021-2025</t>
  </si>
  <si>
    <t>TỔNG KẾ HOẠCH VỐN CHƯƠNG TRÌNH MTQG</t>
  </si>
  <si>
    <t>Hỗ trợ nhà ở 01 hộ</t>
  </si>
  <si>
    <t>Hỗ trợ nhà ở 08 hộ</t>
  </si>
  <si>
    <t>Hỗ trợ nhà ở 07 hộ</t>
  </si>
  <si>
    <t>UBND phường Chi Lăng</t>
  </si>
  <si>
    <t>Hỗ trợ đầu tư sửa chữa, bảo tồn giọt nước làng IaNueng; Hỗ trợ đầu tư bộ cồng chiêng và nhạc cụ dân tộc phục vụ công tác phát triển du lịch</t>
  </si>
  <si>
    <t>Hỗ trợ đầu tư sửa chữa, bảo tồn giọt nước làng Ia Lang</t>
  </si>
  <si>
    <t>Hỗ trợ đầu tư bộ cồng chiêng và nhạc cụ dân tộc phục vụ công tác phát triển du lịch</t>
  </si>
  <si>
    <t>Xã Biển Hồ</t>
  </si>
  <si>
    <t>Duy tu đường nhựa: Từ nhà ông Vỉnh đến nhà Ông Thành Thôn 1; l=463m, Nhà bà Liên đến nhà Ông Tỉnh Thôn 2; L= 745m;  Từ nhà Ông Thắng đến nhà ông Nat Thôn 3; L=184m; ừ 56 Hàn Thuyên đến nhà ông Tiến Thôn 4; L=176m;  đoạn từ nhà ông Cần đến nhà bà Phong thôn Đồng Bằng Nhựa L=350 m.</t>
  </si>
  <si>
    <t>Duy tu mặt đường BTXM thôn 4; L=426m đoạn từ nhà ông Màu đến nhà bà Chinh; Từ nhà ông Nhơn đến nhà Ông Trung Thôn 3 L=141m.Từ nhà ông Long đến nhà Ông Thiết L=410m, Thôn 1 Đọan từ nhà Nòng đến ông Tý L=120m; làng Ianueng Từ nhà già làng xuống giọt nước 204m</t>
  </si>
  <si>
    <t>Duy tu đường BTXM  Từ nhà ông Chinh đến nhà bà Mừng Thôn 4 L=421m; thôn 1 Từ đối diện công ty Olam đến nhà Ông Mạnh L=360m; đường BTXM thôn 4 L=326m đoạn từ 02 Phó Đức Chính đến nhà bà Thống</t>
  </si>
  <si>
    <t>Duy tu đường nhựa: Từ đường nguyễn Huy Tưởng đến đường BTXM thôn Đồng Bằng L=350m, Từ đường hẻm 126 Phạm Hùng đến nhà Ông Thuận; thôn Đồng Bằng L=900m; Đường từ Ngô Sỹ Liên giáp với đường Đặng Thái Thân Thôn 2; L=330m</t>
  </si>
  <si>
    <t>Xã Tân Sơn</t>
  </si>
  <si>
    <t>- Duy tu đường nhựa thôn Tiên Sơn 1 từ cổng chào thôn Tiên Sơn 1 đến nhà SHCĐ làng Tiêng 1; L= 990 m
- Duy tu đường nhựa làng Têng 2 từ cổng chào làng Têng2 đến nhà SHCĐ làng Tiêng 2; L = 100 m
- Duy tu đường BTXM thôn Tiên Sơn 2 từ từ nghĩa địa đến ngã 3 đường nhựa; L = 370 m</t>
  </si>
  <si>
    <t xml:space="preserve">- Duy tu đường nhựa thôn Tiên Sơn 2 từ nhà ông Phan Tấn Sinh đến nhà ông Nguyễn Ngọc Sơn; L= 850 m
</t>
  </si>
  <si>
    <t>- Duy tu đường nhựa làng Têng 1, từ nhà ông Ngữ đến nhà ông Hngat; L =  500m</t>
  </si>
  <si>
    <t>- Duy tu đường nhựa làng Têng 1, từ nhà SHCĐ Têng 2 đến nhà bà Ăng Líu, L= 500m</t>
  </si>
  <si>
    <t>- Duy tu đường nhựa thôn Tiên Sơn 2, từ đường Phạm Hùng đến nhà ông Ksor Nam</t>
  </si>
  <si>
    <t>Xây dựng mới Nhà Văn hóa thôn 4</t>
  </si>
  <si>
    <t>Xã An Phú</t>
  </si>
  <si>
    <t>Xây dựng mới Nhà cấp 4</t>
  </si>
  <si>
    <t>Sửa chữa, mở rộng Nhà Văn hóa làng Thung Dôr</t>
  </si>
  <si>
    <t>Sửa chữa, mở rộng Nhà văn hóa</t>
  </si>
  <si>
    <t>Xây dựng mới Nhà Văn hóa thôn 6</t>
  </si>
  <si>
    <t>Xây dựng mới Nhà Văn hóa thôn 5</t>
  </si>
  <si>
    <t>Đường bê tông xi măng từ nhà Nhol đến cuối đường, Làng O Sơr</t>
  </si>
  <si>
    <t>Xã Ia Kênh</t>
  </si>
  <si>
    <t>Max 200 dày 16 cm, rộng 3,5m, lắp đạt cống thoát nước và vét mương 2 bên, L= 600 m</t>
  </si>
  <si>
    <t>Lắp đặt cống thoát nước xuống giọt Làng Nhao 2</t>
  </si>
  <si>
    <t>Lắp đặt cống tròn, xây kè đá hai đầu</t>
  </si>
  <si>
    <t>Đường bê tông xi măng từ nhà kpa Chang đến nhà ông Ayinh, Làng Mơ Nú</t>
  </si>
  <si>
    <t xml:space="preserve">Rộng 3,5m max  200, dày 16cm (L= 463m) </t>
  </si>
  <si>
    <t>Đường bê tông xi măng từ nhà A Lin đến đường Bê tông, Làng Mơ Nú</t>
  </si>
  <si>
    <t xml:space="preserve">Rộng 3,5m max  200, dày 16cm (L= 228m) </t>
  </si>
  <si>
    <t>Đường bê tông xi măng tử Nhà Lui đến nhà Rơ Châm Vinh; Làng Thong Ngó,</t>
  </si>
  <si>
    <t>Rộng 3,5m max  200, dày 16cm (L= 556 m)</t>
  </si>
  <si>
    <t>Đường bê tông xi măng tử Nhà Loai đến giáp nhà cuối; Làng Thong Yô</t>
  </si>
  <si>
    <t>Rộng 3,5m max  200, dày 16cm (L= 499,74m)</t>
  </si>
  <si>
    <t>Đường GTNT Làng B đoạn từ nhà bà RChâm Blenh đến nhà bà Đào Thị Xướng, Làng B</t>
  </si>
  <si>
    <t>Xã Gào</t>
  </si>
  <si>
    <t xml:space="preserve">Đường BTXM  đá 2x4, M250. dày 16cm;
 Bm=3,5m, chiều dài L=780m </t>
  </si>
  <si>
    <t>Đường GTNT Làng C đoạn từ nhà ông Siu Tý đến rẫy ông Siu Son, Làng C</t>
  </si>
  <si>
    <t xml:space="preserve">Đường BTXM  đá 2x4, M250. dày 16cm;
 Bm=3,5m, chiều dài L=650m </t>
  </si>
  <si>
    <t>Đường GTNT Làng A đoạn từ nhà Rmah Glich đến nhà Rmah Glir và đoạn từ nhà Rơ Mah En đến nhà Rơ Mah Pat, Làng A</t>
  </si>
  <si>
    <t xml:space="preserve">Đường BTXM  đá 2x4, M250. dày 16cm;
 Bm=3,5m, chiều dài L=450m </t>
  </si>
  <si>
    <t>Đường GTNT Làng D đoạn từ nhà Siu Thắng đến nhà ông Rơ Châm Tín và ông RChâm Y, Làng D</t>
  </si>
  <si>
    <t xml:space="preserve">Đường BTXM  đá 2x4, M250. dày 16cm;
 Bm=3,5m, chiều dài L=770m </t>
  </si>
  <si>
    <t>Xã Diên Phú</t>
  </si>
  <si>
    <t xml:space="preserve">
 Bm=3m, chiều dài L= 940m;
hệ thống thoát nước </t>
  </si>
  <si>
    <t xml:space="preserve"> Bm=3 m, chiều dài  L =400m;
hệ thống thoát nước</t>
  </si>
  <si>
    <t>Xây dựng mương thoát nước thôn 3 (Điểm đầu đường 300 mét- điểm cuối giáp đất sản xuât)</t>
  </si>
  <si>
    <t>Xây rãnh mương thoát nước KT70x70 bằng đá hộc M75  chiều dài 140m.</t>
  </si>
  <si>
    <t>Duy tu đường Nguyễn Siêu (điểm đầu giáp đường Trần Nhật Duật - Cuối giáp đường Trường Sa); Thôn 2-3</t>
  </si>
  <si>
    <t xml:space="preserve">
 Bm=3 m, 
chiều dài L=1858,81 mét</t>
  </si>
  <si>
    <t xml:space="preserve"> Bm=3 m, chiều dài  L =4800m</t>
  </si>
  <si>
    <t>Duy tu đường ngõ xóm thôn 1 (Điểm đầu giáp đường Trần Can - điểm cuối giáp đất ông Nguyễn Thắng)</t>
  </si>
  <si>
    <t xml:space="preserve">
 Bm=3 m, chiều dài L= 510m </t>
  </si>
  <si>
    <t>Sân bê tông Trường TH-THCS Nguyễn Chí Thanh, thôn 1</t>
  </si>
  <si>
    <t>Nâng cấp sân bê tông trường Mầm non Hoa Cúc, thôn 1</t>
  </si>
  <si>
    <t>Diện tích xây dựng 249.6m2. Sân làm mới gồm 03 lớp: Lớp 1: Gạch lát sân màu đỏ KT 500x500; Lớp 2: Vữa xi măng lót mác 75 dày 20; Lớp 3: Bê tông lót đá 40x60 VXM mác 50 dày 100</t>
  </si>
  <si>
    <t>Lắp đặt Mái che trường Tiểu học Nguyễn Đức Cảnh, thôn 2</t>
  </si>
  <si>
    <t xml:space="preserve">Công trình cấp IV, diện tích xây dựng 235m2. Cos đỉnh mái +3.85m.Móng trụ BTCT đá 10x20 mác 200. Trụ đỡ mái bằng thép ống D114x3. Kèo mái bằng thép hộp. Giằng trụ bằng thép hộp. Xà gồ thép hộp 40x80x2 khoảng cách A=1000, mái lợp bằng tôn mạ màu dày 4,0 zem. Hoàn thiện sơn sắt thép các loại 03 nước. Hệ thống cấp điện + thoát nước mái thiết kế hoàn chỉnh
</t>
  </si>
  <si>
    <t>Mương thoát nước Thôn 5 (cạnh nhà ông Huỳnh Hoa Thám)</t>
  </si>
  <si>
    <t>Xã Trà Đa</t>
  </si>
  <si>
    <t xml:space="preserve">làm hệ thống cống thoát nước cống BTCT đá 10x20 mác 200; đường kính  D=2m L=30  đấu nối vợi hệ thống thoát nước đường Lý Thường Kiệt . Đỡ cống gối đá hộc vxm mác 100. </t>
  </si>
  <si>
    <t>Nhà để xe, bắt điện chiếu sáng Nhà văn hóa Thôn 3</t>
  </si>
  <si>
    <t xml:space="preserve">Diện tích nhà để xe khoảng 90 m2 ( Móng BTCT; trụ Sắt D90; xà gồ sắt; mái lợp tôn 4 zem  + 6 bóng điện chiếu sáng NLMT 300W </t>
  </si>
  <si>
    <t xml:space="preserve">Mương thoát nước Thôn 5 (cạnh nhà ông Tình) </t>
  </si>
  <si>
    <t xml:space="preserve">Xây mương đá hộc mác 100 Kích thước mương như sau : rộng 1,2 m; sau 0,9 m; nắp đan BTCT mác 200 dày 100 mm  L= 70 m </t>
  </si>
  <si>
    <t>Đường GTNT thôn 4 (từ tổ 2 sang tổ 3)</t>
  </si>
  <si>
    <t xml:space="preserve">BTXM đá 2x4 mác 200, dày 16 cm, Bn=4,5 m, Bm=3,5m, L = 270 m ;  và hệ thống thoát nước dọc. Và cống qua đường . </t>
  </si>
  <si>
    <t>Đường GTNT thôn 3 (Đoạn từ đất ông Thật đến đất ông Khương)</t>
  </si>
  <si>
    <t xml:space="preserve">BTXM đá 2x4 mác 200, dày 16 cm, Bn=4,5m, Bm=3,5 m, L=233,57 m và hệ thống thoát nước dọc, và cống thoát nước qua đường </t>
  </si>
  <si>
    <t>Đường GTNT thôn 3 (Đoạn từ đất bà Hiền đến đất ông Tăng)</t>
  </si>
  <si>
    <t>BTXM đá 2x4 mác 200, dày 16 cm, Bn=4,5m, Bm=3,5 m, L=355,13 m và hệ thống thoát nước dọc</t>
  </si>
  <si>
    <t>BTXM đá 2x4 mác 200, dày 16 cm, Bn=4,5m, Bm=3,5m, L= 111,83 m và hệ thống thoát nước dọc.</t>
  </si>
  <si>
    <t>Đường GTNT thôn 2 (từ nhà ông Trương Anh Minh - đến ruộng)</t>
  </si>
  <si>
    <t>BTXM đá 2x4 mác 200, dày 16 cm, Bn=4,5 m, Bm=3,5m, L = 200 m ;  và hệ thống thoát nước dọc.</t>
  </si>
  <si>
    <t>Đường GTNT thôn 2 (từ ông Sơn đến ruộng)</t>
  </si>
  <si>
    <t>BTXM đá 2x4 mác 200, dày 16 cm, Bn=4,5 m, Bm=3,5m, L = 190 m ;  và hệ thống thoát nước dọc.</t>
  </si>
  <si>
    <t>Đường GTNT thôn 2 (từ ông Nghĩa đến ông Bản)</t>
  </si>
  <si>
    <t>Đường GTNT thôn 3 (Ông Lâm Tứ Quý đến ruộng)</t>
  </si>
  <si>
    <t xml:space="preserve">BTXM đá 2x4 mác 200, dày 16 cm, Bn=4 m, Bm=3m, L = 100 m </t>
  </si>
  <si>
    <t>Đường GTNT thôn 5 (Từ bà Hà chạy xuống ruộng )</t>
  </si>
  <si>
    <t>Đường GTNT thôn 5 (Từ Ông Trần Văn Trung đến giáp đường Lý Thường Kiệt )</t>
  </si>
  <si>
    <t xml:space="preserve">BTXM đá 2x4 mác 200, dày 16 cm, Bn=4,5 m, Bm=3,5m, L = 90 m ;  và hệ thống thoát nước dọc. Và cống qua đường . </t>
  </si>
  <si>
    <t xml:space="preserve">Hệ thống mương thoát nước dọc; Mở rộng đường GTNT thôn 5 ( Hội trường thôn đến giáp thôn 1) </t>
  </si>
  <si>
    <t>Mở rộng đường nhựa mỗi bên 1m; làm hệ thống mương hở một bên L đường nhựa = 695 m; ( Mương hở xây đá VXM mác 100; trát thành VXM mác 75 dày 2 cm; láng đáy VXM mác 75 dày 2 cm; Rộng mặt 1,2 m; đáy 0,4m; sâu 0,4 m); Phần đường nhựa mở rộng (Đá dăm tiêu chuẩn dày 12 cm; láng nhựa 2 lớp tiêu chuẩn 3k/m2)</t>
  </si>
  <si>
    <t xml:space="preserve">Đường GTNT làng Chuet Ngol (từ đầu đường Trương ĐỊnh đến hết đường) </t>
  </si>
  <si>
    <t>Xã Chư Ă</t>
  </si>
  <si>
    <t>Chiều dài 890m. Nền mặt đường và hệ thống thoát nước</t>
  </si>
  <si>
    <t>Sân bê tông chợ. Hệ thống bể nước và các dụng cụ hỗ trợ phòng cháy chữa cháy</t>
  </si>
  <si>
    <t xml:space="preserve">Sửa chữa nâng cấp hệ thống điện, nâng cấp nhà vệ sinh </t>
  </si>
  <si>
    <t xml:space="preserve"> Hỗ trợ đất sản xuất 9 hộ</t>
  </si>
  <si>
    <t>Hỗ trợ đất sản xuất 16 hộ</t>
  </si>
  <si>
    <t xml:space="preserve"> Hỗ trợ đất sản xuất 16 hộ</t>
  </si>
  <si>
    <t>Hỗ trợ đất ở cho 07 hộ;  Hỗ trợ đất sản xuất 9 hộ; Hỗ trợ nhà ở 05 hộ</t>
  </si>
  <si>
    <t>Duy tu đường BTXM thôn 1;2;3;4; Đồng Bằng</t>
  </si>
  <si>
    <t>Duy tu đường BTXM thôn 3; 4, Đồng Bằng</t>
  </si>
  <si>
    <t>Duy tu đường BTXM Thôn 1, Thôn 4</t>
  </si>
  <si>
    <t>Duy tu đường nhựa Thôn 2, thôn Đồng Bằng</t>
  </si>
  <si>
    <t>Duy tu đường nhựa làng Têng 1, từ nhà ông Ngữ đến nhà ông Hngat</t>
  </si>
  <si>
    <t>- Duy tu đường nhựa thôn Tiên Sơn 2 từ nhà ông Phan Tấn Sinh đến nhà ông Nguyễn Ngọc Sơn</t>
  </si>
  <si>
    <t>Duy tu đường nhựa làng Têng 1, từ nhà SHCĐ Têng 2 đến nhà bà Ăng Líu</t>
  </si>
  <si>
    <t>Duy tu đường nhựa thôn Tiên Sơn 2, từ đường Phạm Hùng đến nhà ông Ksor Nam</t>
  </si>
  <si>
    <t>Duy tu đường nhựa thôn Tiên Sơn 1; làng Têng 2; đường BTXM thôn Tiên Sơn 2</t>
  </si>
  <si>
    <t>Duy tu đường ngõ xóm thôn 1, điểm đầu giáp đường Trần Can điểm cuối giáp đất nhà ông Nguyễn Hồng</t>
  </si>
  <si>
    <t>Duy tu đường ngõ xóm thôn 1, điểm đầu giáp đường Trần Can điểm cuối giáp đường bê tông 212 mét</t>
  </si>
  <si>
    <t>Duy tu đường trục chính nội đồng thôn 1, thôn 3</t>
  </si>
  <si>
    <t>Đường GTNT thôn 5 (Đoạn từ nhà ông Hồ đến sân tập lái)</t>
  </si>
  <si>
    <t xml:space="preserve">Phòng Tài nguyên - Môi trường Thành phố theo dõi </t>
  </si>
  <si>
    <t>Nội dung/Địa bàn, đơn vị</t>
  </si>
  <si>
    <t>Biểu 2. DANH MỤC DỰ ÁN ĐẦU TƯ DỰ KIẾN THUỘC KẾ HOẠCH VỐN ĐẦU TƯ PHÁT TRIỂN THỰC HIỆN  CHƯƠNG TRÌNH MỤC TIÊU QUỐC GIA GIAI ĐOẠN 2021-2025</t>
  </si>
  <si>
    <t>Biểu 1.  KẾ HOẠCH VỐN ĐẦU TƯ PHÁT TRIỂN THỰC HIỆN CÁC CHƯƠNG TRÌNH MỤC TIÊU QUỐC GIA GIAI ĐOẠN 2021-2025</t>
  </si>
  <si>
    <t>Biểu 2.  KẾ HOẠCH VỐN ĐẦU TƯ THỰC HIỆN CHƯƠNG TRÌNH MỤC TIÊU QUỐC GIA PHÁT TRIỂN KINH TẾ  -XÃ HỘI VÙNG ĐỒNG BÀO DÂN TỘC THIỂU SỐ VÀ MIỀN NÚI GIAI ĐOẠN 2021-2025</t>
  </si>
  <si>
    <t>Tổng kế hoạch vốn các Chương trình Mục tiêu quốc gia</t>
  </si>
  <si>
    <t>VIX</t>
  </si>
  <si>
    <t>TỔNG CỘNG</t>
  </si>
  <si>
    <t>Biểu 3.  KẾ HOẠCH VỐN ĐẦU TƯ THỰC HIỆN CHƯƠNG TRÌNH MỤC TIÊU QUỐC GIA XÂY DỰNG NÔNG THÔN MỚI GIAI ĐOẠN 2021-2025</t>
  </si>
  <si>
    <t>THUYẾT MINH DANH MỤC XÂY DỰNG KẾ HOẠCH VỐN ĐẦU TƯ PHÁT TRIỂN THỰC HIỆN CHƯƠNG TRÌNH MỤC TIÊU QUỐC GIA GIAI ĐOẠN 2021-2025</t>
  </si>
  <si>
    <t>Biểu 1.  KẾ HOẠCH VỐN ĐẦU TƯ PHÁT TRIỂN THỰC HIỆN 
CÁC CHƯƠNG TRÌNH MỤC TIÊU QUỐC GIA GIAI ĐOẠN 2021-2025</t>
  </si>
  <si>
    <t xml:space="preserve">Ngân sách Trung ương hỗ trợ </t>
  </si>
  <si>
    <t xml:space="preserve">Ngân sách Tỉnh hỗ trợ </t>
  </si>
  <si>
    <t>Công trình cấp IV, diện tích xây dựng 235m2. Cos đỉnh mái +3.85m.Móng trụ BTCT đá 10x20 mác 200. Trụ đỡ mái bằng thép ống D114x3. Kèo mái bằng thép hộp. Giằng trụ bằng thép hộp. Xà gồ thép hộp 40x80x2 khoảng cách A=1000, mái lợp bằng tôn mạ màu dày 4,0 zem. Hoàn thiện sơn sắt thép các loại 03 nước. Hệ thống cấp điện + thoát nước mái thiết kế hoàn chỉnh.</t>
  </si>
  <si>
    <t>Ghi chú (quy mô dự kiến)</t>
  </si>
  <si>
    <t>(Kèm theo Nghị quyết số           /NQ-HĐND ngày     /10/2022 của HĐND Thành phố)</t>
  </si>
  <si>
    <t>Tổng cộng (NS Trung ương và NS Tỉnh)</t>
  </si>
  <si>
    <t>TT</t>
  </si>
  <si>
    <t>ĐVT: Triệu đồng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</si>
</sst>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 #,##0\ _₫_-;\-* #,##0\ _₫_-;_-* &quot;-&quot;??\ _₫_-;_-@_-"/>
    <numFmt numFmtId="165" formatCode="#,##0.0"/>
    <numFmt numFmtId="166" formatCode="_-* #,##0.0\ _₫_-;\-* #,##0.0\ _₫_-;_-* &quot;-&quot;??\ _₫_-;_-@_-"/>
    <numFmt numFmtId="167" formatCode="_-* #,##0.000\ _₫_-;\-* #,##0.000\ _₫_-;_-* &quot;-&quot;??\ _₫_-;_-@_-"/>
  </numFmts>
  <fonts count="29" x14ac:knownFonts="1">
    <font>
      <sz val="11"/>
      <color theme="1"/>
      <name val="Calibri"/>
      <family val="2"/>
      <charset val="163"/>
      <scheme val="minor"/>
    </font>
    <font>
      <sz val="11"/>
      <color theme="1"/>
      <name val="Calibri"/>
      <family val="2"/>
      <charset val="163"/>
      <scheme val="minor"/>
    </font>
    <font>
      <b/>
      <sz val="11"/>
      <color theme="1"/>
      <name val="Times New Roman"/>
      <family val="1"/>
    </font>
    <font>
      <i/>
      <sz val="11"/>
      <color theme="1"/>
      <name val="Times New Roman"/>
      <family val="1"/>
    </font>
    <font>
      <sz val="11"/>
      <color theme="1"/>
      <name val="Times New Roman"/>
      <family val="1"/>
    </font>
    <font>
      <b/>
      <sz val="11"/>
      <color rgb="FF000000"/>
      <name val="Times New Roman"/>
      <family val="1"/>
    </font>
    <font>
      <sz val="11"/>
      <color rgb="FF000000"/>
      <name val="Times New Roman"/>
      <family val="1"/>
    </font>
    <font>
      <b/>
      <sz val="11"/>
      <name val="Times New Roman"/>
      <family val="1"/>
    </font>
    <font>
      <sz val="11"/>
      <name val="Times New Roman"/>
      <family val="1"/>
    </font>
    <font>
      <sz val="11"/>
      <color theme="1"/>
      <name val="Calibri"/>
      <family val="2"/>
      <scheme val="minor"/>
    </font>
    <font>
      <sz val="10"/>
      <name val="MS Sans Serif"/>
      <family val="2"/>
    </font>
    <font>
      <sz val="11"/>
      <color rgb="FFFF0000"/>
      <name val="Times New Roman"/>
      <family val="1"/>
    </font>
    <font>
      <sz val="11"/>
      <name val="Calibri"/>
      <family val="2"/>
      <charset val="163"/>
      <scheme val="minor"/>
    </font>
    <font>
      <i/>
      <sz val="11"/>
      <name val="Times New Roman"/>
      <family val="1"/>
    </font>
    <font>
      <b/>
      <sz val="13"/>
      <color theme="1"/>
      <name val="Times New Roman"/>
      <family val="1"/>
    </font>
    <font>
      <i/>
      <sz val="13"/>
      <color theme="1"/>
      <name val="Times New Roman"/>
      <family val="1"/>
    </font>
    <font>
      <sz val="13"/>
      <color theme="1"/>
      <name val="Times New Roman"/>
      <family val="1"/>
    </font>
    <font>
      <b/>
      <sz val="13"/>
      <color rgb="FF000000"/>
      <name val="Times New Roman"/>
      <family val="1"/>
    </font>
    <font>
      <sz val="13"/>
      <color rgb="FF000000"/>
      <name val="Times New Roman"/>
      <family val="1"/>
    </font>
    <font>
      <sz val="13"/>
      <name val="Times New Roman"/>
      <family val="1"/>
    </font>
    <font>
      <b/>
      <sz val="13"/>
      <name val="Times New Roman"/>
      <family val="1"/>
    </font>
    <font>
      <b/>
      <sz val="14"/>
      <color theme="1"/>
      <name val="Times New Roman"/>
      <family val="1"/>
    </font>
    <font>
      <i/>
      <sz val="14"/>
      <color theme="1"/>
      <name val="Times New Roman"/>
      <family val="1"/>
    </font>
    <font>
      <sz val="14"/>
      <color theme="1"/>
      <name val="Times New Roman"/>
      <family val="1"/>
    </font>
    <font>
      <b/>
      <sz val="14"/>
      <color rgb="FF000000"/>
      <name val="Times New Roman"/>
      <family val="1"/>
    </font>
    <font>
      <sz val="14"/>
      <color rgb="FF000000"/>
      <name val="Times New Roman"/>
      <family val="1"/>
    </font>
    <font>
      <sz val="14"/>
      <name val="Times New Roman"/>
      <family val="1"/>
    </font>
    <font>
      <b/>
      <sz val="14"/>
      <name val="Times New Roman"/>
      <family val="1"/>
    </font>
    <font>
      <sz val="13"/>
      <color rgb="FFFF0000"/>
      <name val="Times New Roman"/>
      <family val="1"/>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0" fontId="9" fillId="0" borderId="0"/>
    <xf numFmtId="0" fontId="10" fillId="0" borderId="0"/>
  </cellStyleXfs>
  <cellXfs count="196">
    <xf numFmtId="0" fontId="0" fillId="0" borderId="0" xfId="0"/>
    <xf numFmtId="0" fontId="4" fillId="0" borderId="0" xfId="0" applyFont="1" applyFill="1" applyAlignment="1">
      <alignment vertical="center"/>
    </xf>
    <xf numFmtId="164" fontId="5" fillId="0" borderId="1" xfId="1"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64" fontId="4" fillId="0" borderId="0" xfId="0" applyNumberFormat="1" applyFont="1" applyFill="1" applyAlignment="1">
      <alignment vertical="center"/>
    </xf>
    <xf numFmtId="0" fontId="4" fillId="0" borderId="1" xfId="0" applyFont="1" applyFill="1" applyBorder="1" applyAlignment="1">
      <alignment vertical="center"/>
    </xf>
    <xf numFmtId="0" fontId="2" fillId="0" borderId="0" xfId="0" applyFont="1" applyFill="1" applyAlignment="1">
      <alignment vertical="center"/>
    </xf>
    <xf numFmtId="164" fontId="2" fillId="0" borderId="0" xfId="0" applyNumberFormat="1" applyFont="1" applyFill="1" applyAlignment="1">
      <alignment vertical="center"/>
    </xf>
    <xf numFmtId="164" fontId="6" fillId="0" borderId="1" xfId="1" applyNumberFormat="1" applyFont="1" applyFill="1" applyBorder="1" applyAlignment="1">
      <alignment horizontal="center" vertical="center" wrapText="1"/>
    </xf>
    <xf numFmtId="0" fontId="4" fillId="0" borderId="1" xfId="0" applyFont="1" applyFill="1" applyBorder="1" applyAlignment="1">
      <alignment vertical="center" wrapText="1"/>
    </xf>
    <xf numFmtId="164" fontId="4" fillId="0" borderId="0" xfId="0" applyNumberFormat="1" applyFont="1" applyFill="1" applyAlignment="1">
      <alignment vertical="center" wrapText="1"/>
    </xf>
    <xf numFmtId="0" fontId="2" fillId="0" borderId="1" xfId="0" applyFont="1" applyFill="1" applyBorder="1" applyAlignment="1">
      <alignment vertical="center"/>
    </xf>
    <xf numFmtId="164" fontId="2" fillId="0" borderId="1" xfId="1" applyNumberFormat="1" applyFont="1" applyFill="1" applyBorder="1" applyAlignment="1">
      <alignment vertical="center"/>
    </xf>
    <xf numFmtId="164" fontId="4" fillId="0" borderId="1" xfId="1" applyNumberFormat="1" applyFont="1" applyFill="1" applyBorder="1" applyAlignment="1">
      <alignment horizontal="center" vertical="center" wrapText="1"/>
    </xf>
    <xf numFmtId="0" fontId="4" fillId="0" borderId="0" xfId="0" applyFont="1" applyFill="1" applyAlignment="1">
      <alignment vertical="center" wrapText="1"/>
    </xf>
    <xf numFmtId="0" fontId="7" fillId="0" borderId="1" xfId="0" applyFont="1" applyFill="1" applyBorder="1" applyAlignment="1">
      <alignment horizontal="center" vertical="center"/>
    </xf>
    <xf numFmtId="3" fontId="8" fillId="0" borderId="1" xfId="0" applyNumberFormat="1" applyFont="1" applyFill="1" applyBorder="1" applyAlignment="1">
      <alignment vertical="center" wrapText="1"/>
    </xf>
    <xf numFmtId="164" fontId="2" fillId="0" borderId="1" xfId="1" applyNumberFormat="1" applyFont="1" applyFill="1" applyBorder="1" applyAlignment="1">
      <alignment horizontal="center" vertical="center"/>
    </xf>
    <xf numFmtId="0" fontId="7" fillId="0" borderId="1" xfId="0" applyFont="1" applyFill="1" applyBorder="1" applyAlignment="1">
      <alignment vertical="center"/>
    </xf>
    <xf numFmtId="164" fontId="4" fillId="0" borderId="1" xfId="1" applyNumberFormat="1" applyFont="1" applyFill="1" applyBorder="1" applyAlignment="1">
      <alignment horizontal="left" vertical="center" wrapText="1"/>
    </xf>
    <xf numFmtId="164" fontId="4" fillId="0" borderId="1" xfId="1" applyNumberFormat="1" applyFont="1" applyFill="1" applyBorder="1" applyAlignment="1">
      <alignment horizontal="center" vertical="center"/>
    </xf>
    <xf numFmtId="0" fontId="8" fillId="0" borderId="1" xfId="0" quotePrefix="1" applyFont="1" applyFill="1" applyBorder="1" applyAlignment="1">
      <alignment horizontal="center" vertical="center" wrapText="1"/>
    </xf>
    <xf numFmtId="164" fontId="8" fillId="0" borderId="1" xfId="1" quotePrefix="1" applyNumberFormat="1" applyFont="1" applyFill="1" applyBorder="1" applyAlignment="1">
      <alignment horizontal="center" vertical="center" wrapText="1"/>
    </xf>
    <xf numFmtId="0" fontId="4" fillId="0" borderId="0" xfId="0" applyFont="1" applyFill="1" applyAlignment="1">
      <alignment horizontal="center" vertical="center"/>
    </xf>
    <xf numFmtId="164" fontId="4" fillId="0" borderId="0" xfId="1" applyNumberFormat="1" applyFont="1" applyFill="1" applyAlignment="1">
      <alignment vertical="center"/>
    </xf>
    <xf numFmtId="43" fontId="4" fillId="0" borderId="0" xfId="1" applyFont="1" applyFill="1" applyAlignment="1">
      <alignment vertical="center"/>
    </xf>
    <xf numFmtId="43" fontId="4" fillId="0" borderId="0" xfId="0" applyNumberFormat="1" applyFont="1" applyFill="1" applyAlignment="1">
      <alignment vertical="center"/>
    </xf>
    <xf numFmtId="0" fontId="8" fillId="0" borderId="1" xfId="0" applyFont="1" applyFill="1" applyBorder="1" applyAlignment="1">
      <alignment horizontal="left" vertical="center" wrapText="1"/>
    </xf>
    <xf numFmtId="164" fontId="4" fillId="0" borderId="1" xfId="1" applyNumberFormat="1" applyFont="1" applyFill="1" applyBorder="1" applyAlignment="1">
      <alignment vertical="center" wrapText="1"/>
    </xf>
    <xf numFmtId="164" fontId="6" fillId="0" borderId="1" xfId="1" applyNumberFormat="1" applyFont="1" applyFill="1" applyBorder="1" applyAlignment="1">
      <alignment horizontal="left" vertical="center" wrapText="1"/>
    </xf>
    <xf numFmtId="164" fontId="7" fillId="0" borderId="1" xfId="1" applyNumberFormat="1" applyFont="1" applyFill="1" applyBorder="1" applyAlignment="1">
      <alignment horizontal="center" vertical="center"/>
    </xf>
    <xf numFmtId="164" fontId="7" fillId="0" borderId="1" xfId="1" applyNumberFormat="1" applyFont="1" applyFill="1" applyBorder="1" applyAlignment="1">
      <alignment vertical="center" wrapText="1"/>
    </xf>
    <xf numFmtId="0" fontId="7" fillId="0" borderId="0" xfId="0" applyFont="1" applyFill="1" applyAlignment="1">
      <alignment vertical="center"/>
    </xf>
    <xf numFmtId="164" fontId="8" fillId="0" borderId="1" xfId="1" applyNumberFormat="1" applyFont="1" applyFill="1" applyBorder="1" applyAlignment="1">
      <alignment vertical="center" wrapText="1"/>
    </xf>
    <xf numFmtId="3" fontId="8" fillId="0" borderId="1" xfId="0" quotePrefix="1" applyNumberFormat="1" applyFont="1" applyBorder="1" applyAlignment="1">
      <alignment vertical="center" wrapText="1"/>
    </xf>
    <xf numFmtId="164" fontId="8" fillId="0" borderId="1" xfId="1" applyNumberFormat="1" applyFont="1" applyFill="1" applyBorder="1" applyAlignment="1">
      <alignment horizontal="right" vertical="center"/>
    </xf>
    <xf numFmtId="0" fontId="8" fillId="0" borderId="1" xfId="0" applyFont="1" applyFill="1" applyBorder="1" applyAlignment="1">
      <alignment vertical="center"/>
    </xf>
    <xf numFmtId="164" fontId="8" fillId="0" borderId="1" xfId="1" applyNumberFormat="1" applyFont="1" applyFill="1" applyBorder="1" applyAlignment="1">
      <alignment horizontal="left" vertical="center" wrapText="1"/>
    </xf>
    <xf numFmtId="164" fontId="8" fillId="0" borderId="1" xfId="1" applyNumberFormat="1" applyFont="1" applyFill="1" applyBorder="1" applyAlignment="1" applyProtection="1">
      <alignment horizontal="center" vertical="center" wrapText="1"/>
    </xf>
    <xf numFmtId="164" fontId="8" fillId="0" borderId="1" xfId="1" applyNumberFormat="1" applyFont="1" applyFill="1" applyBorder="1" applyAlignment="1">
      <alignment horizontal="center" vertical="center"/>
    </xf>
    <xf numFmtId="164" fontId="8" fillId="0" borderId="1" xfId="1" applyNumberFormat="1" applyFont="1" applyFill="1" applyBorder="1" applyAlignment="1" applyProtection="1">
      <alignment horizontal="center" vertical="center"/>
    </xf>
    <xf numFmtId="164" fontId="4" fillId="0" borderId="1" xfId="1" applyNumberFormat="1" applyFont="1" applyFill="1" applyBorder="1" applyAlignment="1">
      <alignment vertical="center"/>
    </xf>
    <xf numFmtId="164" fontId="8" fillId="0" borderId="1" xfId="1" applyNumberFormat="1" applyFont="1" applyFill="1" applyBorder="1" applyAlignment="1">
      <alignment horizontal="center" vertical="center" wrapText="1"/>
    </xf>
    <xf numFmtId="164" fontId="7" fillId="0" borderId="0" xfId="0" applyNumberFormat="1" applyFont="1" applyFill="1" applyAlignment="1">
      <alignment vertical="center"/>
    </xf>
    <xf numFmtId="164" fontId="8" fillId="0" borderId="0" xfId="0" applyNumberFormat="1" applyFont="1" applyFill="1" applyAlignment="1">
      <alignment vertical="center" wrapText="1"/>
    </xf>
    <xf numFmtId="0" fontId="8" fillId="0" borderId="0" xfId="0" applyFont="1" applyFill="1" applyAlignment="1">
      <alignment vertical="center"/>
    </xf>
    <xf numFmtId="164" fontId="11" fillId="0" borderId="1" xfId="1" applyNumberFormat="1" applyFont="1" applyFill="1" applyBorder="1" applyAlignment="1">
      <alignment horizontal="center" vertical="center" wrapText="1"/>
    </xf>
    <xf numFmtId="166" fontId="4" fillId="0" borderId="0" xfId="1" applyNumberFormat="1" applyFont="1" applyFill="1" applyAlignment="1">
      <alignment vertical="center"/>
    </xf>
    <xf numFmtId="166" fontId="5" fillId="0" borderId="1" xfId="1" applyNumberFormat="1" applyFont="1" applyFill="1" applyBorder="1" applyAlignment="1">
      <alignment horizontal="center" vertical="center" wrapText="1"/>
    </xf>
    <xf numFmtId="166" fontId="6" fillId="0" borderId="1" xfId="1" applyNumberFormat="1" applyFont="1" applyFill="1" applyBorder="1" applyAlignment="1">
      <alignment horizontal="center" vertical="center" wrapText="1"/>
    </xf>
    <xf numFmtId="166" fontId="2" fillId="0" borderId="1" xfId="1" applyNumberFormat="1" applyFont="1" applyFill="1" applyBorder="1" applyAlignment="1">
      <alignment vertical="center"/>
    </xf>
    <xf numFmtId="166" fontId="4" fillId="0" borderId="1" xfId="1" applyNumberFormat="1" applyFont="1" applyFill="1" applyBorder="1" applyAlignment="1">
      <alignment horizontal="center" vertical="center" wrapText="1"/>
    </xf>
    <xf numFmtId="166" fontId="8" fillId="0" borderId="1" xfId="1" quotePrefix="1" applyNumberFormat="1" applyFont="1" applyFill="1" applyBorder="1" applyAlignment="1">
      <alignment horizontal="center" vertical="center" wrapText="1"/>
    </xf>
    <xf numFmtId="166" fontId="7" fillId="0" borderId="1" xfId="1" applyNumberFormat="1" applyFont="1" applyFill="1" applyBorder="1" applyAlignment="1">
      <alignment horizontal="center" vertical="center" wrapText="1"/>
    </xf>
    <xf numFmtId="166" fontId="4" fillId="0" borderId="1" xfId="1" applyNumberFormat="1" applyFont="1" applyFill="1" applyBorder="1" applyAlignment="1">
      <alignment vertical="center" wrapText="1"/>
    </xf>
    <xf numFmtId="166" fontId="7" fillId="0" borderId="1" xfId="1" applyNumberFormat="1" applyFont="1" applyFill="1" applyBorder="1" applyAlignment="1">
      <alignment horizontal="right" vertical="center"/>
    </xf>
    <xf numFmtId="166" fontId="8" fillId="0" borderId="1" xfId="1" applyNumberFormat="1" applyFont="1" applyFill="1" applyBorder="1" applyAlignment="1">
      <alignment horizontal="right" vertical="center"/>
    </xf>
    <xf numFmtId="166" fontId="8" fillId="0" borderId="1" xfId="1" applyNumberFormat="1" applyFont="1" applyFill="1" applyBorder="1" applyAlignment="1">
      <alignment horizontal="center" vertical="center"/>
    </xf>
    <xf numFmtId="166" fontId="7" fillId="0" borderId="1" xfId="1" applyNumberFormat="1" applyFont="1" applyFill="1" applyBorder="1" applyAlignment="1">
      <alignment horizontal="center" vertical="center"/>
    </xf>
    <xf numFmtId="166" fontId="4" fillId="0" borderId="1" xfId="1" applyNumberFormat="1" applyFont="1" applyFill="1" applyBorder="1" applyAlignment="1">
      <alignment horizontal="center" vertical="center"/>
    </xf>
    <xf numFmtId="166" fontId="5" fillId="2" borderId="1" xfId="1" applyNumberFormat="1" applyFont="1" applyFill="1" applyBorder="1" applyAlignment="1">
      <alignment horizontal="center" vertical="center" wrapText="1"/>
    </xf>
    <xf numFmtId="0" fontId="8" fillId="0" borderId="1" xfId="0" applyFont="1" applyFill="1" applyBorder="1" applyAlignment="1">
      <alignment vertical="center" wrapText="1"/>
    </xf>
    <xf numFmtId="166" fontId="8" fillId="0" borderId="1" xfId="1" applyNumberFormat="1" applyFont="1" applyFill="1" applyBorder="1" applyAlignment="1">
      <alignment horizontal="center" vertical="center" wrapText="1"/>
    </xf>
    <xf numFmtId="43" fontId="8" fillId="0" borderId="0" xfId="0" applyNumberFormat="1" applyFont="1" applyFill="1" applyAlignment="1">
      <alignment vertical="center"/>
    </xf>
    <xf numFmtId="167" fontId="8" fillId="0" borderId="0" xfId="1" applyNumberFormat="1" applyFont="1" applyFill="1" applyAlignment="1">
      <alignment vertical="center"/>
    </xf>
    <xf numFmtId="0" fontId="12" fillId="0" borderId="0" xfId="0" applyFont="1" applyFill="1" applyAlignment="1">
      <alignment vertical="center"/>
    </xf>
    <xf numFmtId="0" fontId="12" fillId="0" borderId="0" xfId="0" applyFont="1" applyFill="1" applyAlignment="1">
      <alignment horizontal="center" vertical="center"/>
    </xf>
    <xf numFmtId="166" fontId="12" fillId="0" borderId="0" xfId="1" applyNumberFormat="1" applyFont="1" applyFill="1" applyAlignment="1">
      <alignment vertical="center"/>
    </xf>
    <xf numFmtId="164" fontId="12" fillId="0" borderId="0" xfId="1" applyNumberFormat="1" applyFont="1" applyFill="1" applyAlignment="1">
      <alignment vertical="center"/>
    </xf>
    <xf numFmtId="164" fontId="7" fillId="0" borderId="1" xfId="1"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64" fontId="8" fillId="0" borderId="0" xfId="0" applyNumberFormat="1" applyFont="1" applyFill="1" applyAlignment="1">
      <alignment vertical="center"/>
    </xf>
    <xf numFmtId="166" fontId="7" fillId="0" borderId="0" xfId="0" applyNumberFormat="1" applyFont="1" applyFill="1" applyAlignment="1">
      <alignment vertical="center"/>
    </xf>
    <xf numFmtId="166" fontId="7" fillId="0" borderId="1" xfId="1" applyNumberFormat="1" applyFont="1" applyFill="1" applyBorder="1" applyAlignment="1">
      <alignment vertical="center"/>
    </xf>
    <xf numFmtId="164" fontId="7" fillId="0" borderId="1" xfId="1" applyNumberFormat="1" applyFont="1" applyFill="1" applyBorder="1" applyAlignment="1">
      <alignment vertical="center"/>
    </xf>
    <xf numFmtId="165" fontId="8" fillId="0" borderId="1" xfId="0" applyNumberFormat="1" applyFont="1" applyFill="1" applyBorder="1" applyAlignment="1">
      <alignment vertical="center" wrapText="1"/>
    </xf>
    <xf numFmtId="0" fontId="8" fillId="0" borderId="1" xfId="0" applyFont="1" applyFill="1" applyBorder="1" applyAlignment="1">
      <alignment horizontal="center" vertical="center" wrapText="1"/>
    </xf>
    <xf numFmtId="0" fontId="8" fillId="0" borderId="0" xfId="0" applyFont="1" applyFill="1" applyAlignment="1">
      <alignment vertical="center" wrapText="1"/>
    </xf>
    <xf numFmtId="166" fontId="8" fillId="0" borderId="1" xfId="1" applyNumberFormat="1" applyFont="1" applyFill="1" applyBorder="1" applyAlignment="1">
      <alignment vertical="center" wrapText="1"/>
    </xf>
    <xf numFmtId="43" fontId="7" fillId="0" borderId="0" xfId="1" applyFont="1" applyFill="1" applyAlignment="1">
      <alignment vertical="center"/>
    </xf>
    <xf numFmtId="166" fontId="7" fillId="0" borderId="1" xfId="1" applyNumberFormat="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164" fontId="5" fillId="0" borderId="1" xfId="1" applyNumberFormat="1" applyFont="1" applyFill="1" applyBorder="1" applyAlignment="1">
      <alignment horizontal="center" vertical="center" wrapText="1"/>
    </xf>
    <xf numFmtId="166" fontId="5" fillId="0" borderId="1" xfId="1" applyNumberFormat="1" applyFont="1" applyFill="1" applyBorder="1" applyAlignment="1">
      <alignment horizontal="center" vertical="center" wrapText="1"/>
    </xf>
    <xf numFmtId="0" fontId="8" fillId="0" borderId="1" xfId="0" quotePrefix="1" applyFont="1" applyFill="1" applyBorder="1" applyAlignment="1">
      <alignment horizontal="left" vertical="center" wrapText="1"/>
    </xf>
    <xf numFmtId="0" fontId="12" fillId="0" borderId="0" xfId="0" applyFont="1" applyFill="1" applyAlignment="1">
      <alignment horizontal="left" vertical="center"/>
    </xf>
    <xf numFmtId="0" fontId="7" fillId="0" borderId="1" xfId="0" applyFont="1" applyFill="1" applyBorder="1" applyAlignment="1">
      <alignment horizontal="left" vertical="center"/>
    </xf>
    <xf numFmtId="0" fontId="7" fillId="0" borderId="1" xfId="0" applyFont="1" applyFill="1" applyBorder="1" applyAlignment="1">
      <alignment horizontal="left" vertical="center" wrapText="1"/>
    </xf>
    <xf numFmtId="3" fontId="8" fillId="0" borderId="1" xfId="0" applyNumberFormat="1" applyFont="1" applyFill="1" applyBorder="1" applyAlignment="1">
      <alignment horizontal="left" vertical="center" wrapText="1"/>
    </xf>
    <xf numFmtId="164" fontId="7" fillId="0" borderId="1" xfId="1" applyNumberFormat="1" applyFont="1" applyFill="1" applyBorder="1" applyAlignment="1">
      <alignment horizontal="left" vertical="center"/>
    </xf>
    <xf numFmtId="0" fontId="4" fillId="0" borderId="0" xfId="0" applyFont="1" applyFill="1" applyAlignment="1">
      <alignment horizontal="left" vertical="center"/>
    </xf>
    <xf numFmtId="0" fontId="4" fillId="0" borderId="1" xfId="0" applyFont="1" applyFill="1" applyBorder="1" applyAlignment="1">
      <alignment horizontal="left" vertical="center" wrapText="1"/>
    </xf>
    <xf numFmtId="0" fontId="2" fillId="0" borderId="1" xfId="0" applyFont="1" applyFill="1" applyBorder="1" applyAlignment="1">
      <alignment horizontal="left" vertical="center"/>
    </xf>
    <xf numFmtId="3" fontId="8" fillId="0" borderId="1" xfId="0" quotePrefix="1" applyNumberFormat="1" applyFont="1" applyBorder="1" applyAlignment="1">
      <alignment horizontal="left" vertical="center" wrapText="1"/>
    </xf>
    <xf numFmtId="3" fontId="8" fillId="0" borderId="1" xfId="0" applyNumberFormat="1" applyFont="1" applyBorder="1" applyAlignment="1">
      <alignment horizontal="left" vertical="center" wrapText="1"/>
    </xf>
    <xf numFmtId="164" fontId="2" fillId="0" borderId="1" xfId="1" applyNumberFormat="1" applyFont="1" applyFill="1" applyBorder="1" applyAlignment="1">
      <alignment horizontal="left" vertical="center"/>
    </xf>
    <xf numFmtId="164" fontId="7" fillId="0" borderId="1" xfId="1" applyNumberFormat="1" applyFont="1" applyFill="1" applyBorder="1" applyAlignment="1">
      <alignment horizontal="center" vertical="center" wrapText="1"/>
    </xf>
    <xf numFmtId="164" fontId="3" fillId="0" borderId="5" xfId="1" applyNumberFormat="1" applyFont="1" applyFill="1" applyBorder="1" applyAlignment="1">
      <alignment horizontal="center" vertical="center" wrapText="1"/>
    </xf>
    <xf numFmtId="164" fontId="5" fillId="0" borderId="1" xfId="1" applyNumberFormat="1" applyFont="1" applyFill="1" applyBorder="1" applyAlignment="1">
      <alignment horizontal="center" vertical="center" wrapText="1"/>
    </xf>
    <xf numFmtId="166" fontId="2" fillId="0" borderId="0" xfId="1" applyNumberFormat="1" applyFont="1" applyFill="1" applyAlignment="1">
      <alignment vertical="center"/>
    </xf>
    <xf numFmtId="166" fontId="5" fillId="0" borderId="1" xfId="1" applyNumberFormat="1" applyFont="1" applyFill="1" applyBorder="1" applyAlignment="1">
      <alignment horizontal="right" vertical="center" wrapText="1"/>
    </xf>
    <xf numFmtId="166" fontId="2" fillId="0" borderId="1" xfId="1" applyNumberFormat="1" applyFont="1" applyFill="1" applyBorder="1" applyAlignment="1">
      <alignment horizontal="center" vertical="center" wrapText="1"/>
    </xf>
    <xf numFmtId="0" fontId="4" fillId="0" borderId="1" xfId="0" applyFont="1" applyFill="1" applyBorder="1" applyAlignment="1">
      <alignment horizontal="left" vertical="center"/>
    </xf>
    <xf numFmtId="164" fontId="4" fillId="0" borderId="1" xfId="1" applyNumberFormat="1" applyFont="1" applyFill="1" applyBorder="1" applyAlignment="1">
      <alignment horizontal="left" vertical="center"/>
    </xf>
    <xf numFmtId="164" fontId="2" fillId="0" borderId="0" xfId="1" applyNumberFormat="1" applyFont="1" applyFill="1" applyAlignment="1">
      <alignment vertical="center"/>
    </xf>
    <xf numFmtId="164" fontId="5" fillId="2" borderId="1" xfId="1" applyNumberFormat="1" applyFont="1" applyFill="1" applyBorder="1" applyAlignment="1">
      <alignment horizontal="center" vertical="center" wrapText="1"/>
    </xf>
    <xf numFmtId="164" fontId="6" fillId="0" borderId="1" xfId="1" applyNumberFormat="1" applyFont="1" applyFill="1" applyBorder="1" applyAlignment="1">
      <alignment horizontal="right" vertical="center" wrapText="1"/>
    </xf>
    <xf numFmtId="164" fontId="5" fillId="0" borderId="1" xfId="1" applyNumberFormat="1" applyFont="1" applyFill="1" applyBorder="1" applyAlignment="1">
      <alignment horizontal="center" vertical="center" wrapText="1"/>
    </xf>
    <xf numFmtId="0" fontId="4" fillId="0" borderId="0" xfId="0" applyFont="1"/>
    <xf numFmtId="164" fontId="7" fillId="0" borderId="1" xfId="1" applyNumberFormat="1" applyFont="1" applyFill="1" applyBorder="1" applyAlignment="1">
      <alignment horizontal="center" vertical="center" wrapText="1"/>
    </xf>
    <xf numFmtId="164" fontId="5" fillId="0" borderId="1" xfId="1" applyNumberFormat="1" applyFont="1" applyFill="1" applyBorder="1" applyAlignment="1">
      <alignment horizontal="center" vertical="center" wrapText="1"/>
    </xf>
    <xf numFmtId="0" fontId="14" fillId="0" borderId="0" xfId="0" applyFont="1" applyFill="1" applyAlignment="1">
      <alignment horizontal="center" vertical="center" wrapText="1"/>
    </xf>
    <xf numFmtId="0" fontId="15" fillId="0" borderId="0" xfId="0" applyFont="1"/>
    <xf numFmtId="0" fontId="16" fillId="0" borderId="0" xfId="0" applyFont="1"/>
    <xf numFmtId="164" fontId="17" fillId="0" borderId="1" xfId="1" applyNumberFormat="1" applyFont="1" applyFill="1" applyBorder="1" applyAlignment="1">
      <alignment horizontal="center" vertical="center" wrapText="1"/>
    </xf>
    <xf numFmtId="0" fontId="14" fillId="0" borderId="1" xfId="0" applyFont="1" applyFill="1" applyBorder="1" applyAlignment="1">
      <alignment vertical="center" wrapText="1"/>
    </xf>
    <xf numFmtId="164" fontId="18" fillId="0" borderId="1" xfId="1" applyNumberFormat="1" applyFont="1" applyFill="1" applyBorder="1" applyAlignment="1">
      <alignment horizontal="center" vertical="center" wrapText="1"/>
    </xf>
    <xf numFmtId="164" fontId="18" fillId="0" borderId="1" xfId="1" applyNumberFormat="1" applyFont="1" applyFill="1" applyBorder="1" applyAlignment="1">
      <alignment horizontal="left" vertical="center" wrapText="1"/>
    </xf>
    <xf numFmtId="0" fontId="16" fillId="0" borderId="0" xfId="0" applyFont="1" applyFill="1" applyAlignment="1">
      <alignment vertical="center"/>
    </xf>
    <xf numFmtId="0" fontId="16" fillId="0" borderId="0" xfId="0" applyFont="1" applyFill="1" applyAlignment="1">
      <alignment horizontal="left" vertical="center"/>
    </xf>
    <xf numFmtId="164" fontId="14" fillId="0" borderId="0" xfId="1" applyNumberFormat="1" applyFont="1" applyFill="1" applyAlignment="1">
      <alignment vertical="center"/>
    </xf>
    <xf numFmtId="164" fontId="16" fillId="0" borderId="0" xfId="1" applyNumberFormat="1" applyFont="1" applyFill="1" applyAlignment="1">
      <alignment vertical="center"/>
    </xf>
    <xf numFmtId="0" fontId="14" fillId="0" borderId="1" xfId="0" applyFont="1" applyFill="1" applyBorder="1" applyAlignment="1">
      <alignment horizontal="center" vertical="center" wrapText="1"/>
    </xf>
    <xf numFmtId="0" fontId="16" fillId="0" borderId="1" xfId="0" applyFont="1" applyFill="1" applyBorder="1" applyAlignment="1">
      <alignment vertical="center"/>
    </xf>
    <xf numFmtId="164" fontId="17" fillId="2" borderId="1" xfId="1"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164" fontId="19" fillId="0" borderId="1" xfId="1" applyNumberFormat="1" applyFont="1" applyFill="1" applyBorder="1" applyAlignment="1">
      <alignment horizontal="center" vertical="center" wrapText="1"/>
    </xf>
    <xf numFmtId="164" fontId="20" fillId="0" borderId="1" xfId="1" applyNumberFormat="1" applyFont="1" applyFill="1" applyBorder="1" applyAlignment="1">
      <alignment horizontal="center" vertical="center" wrapText="1"/>
    </xf>
    <xf numFmtId="0" fontId="16" fillId="0" borderId="0" xfId="0" applyFont="1" applyFill="1" applyAlignment="1">
      <alignment horizontal="center" vertical="center"/>
    </xf>
    <xf numFmtId="0" fontId="21" fillId="0" borderId="0" xfId="0" applyFont="1" applyFill="1" applyAlignment="1">
      <alignment horizontal="center" vertical="center" wrapText="1"/>
    </xf>
    <xf numFmtId="0" fontId="23" fillId="0" borderId="0" xfId="0" applyFont="1" applyFill="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vertical="center"/>
    </xf>
    <xf numFmtId="164" fontId="21" fillId="0" borderId="0" xfId="1" applyNumberFormat="1" applyFont="1" applyFill="1" applyAlignment="1">
      <alignment vertical="center"/>
    </xf>
    <xf numFmtId="164" fontId="23" fillId="0" borderId="0" xfId="1" applyNumberFormat="1" applyFont="1" applyFill="1" applyAlignment="1">
      <alignment vertical="center"/>
    </xf>
    <xf numFmtId="164" fontId="24" fillId="0" borderId="3" xfId="1" applyNumberFormat="1" applyFont="1" applyFill="1" applyBorder="1" applyAlignment="1">
      <alignment vertical="center" wrapText="1"/>
    </xf>
    <xf numFmtId="164" fontId="24" fillId="0" borderId="4" xfId="1" applyNumberFormat="1" applyFont="1" applyFill="1" applyBorder="1" applyAlignment="1">
      <alignment vertical="center" wrapText="1"/>
    </xf>
    <xf numFmtId="164" fontId="24" fillId="0" borderId="1" xfId="1" applyNumberFormat="1" applyFont="1" applyFill="1" applyBorder="1" applyAlignment="1">
      <alignment horizontal="center" vertical="center" wrapText="1"/>
    </xf>
    <xf numFmtId="164" fontId="24" fillId="0" borderId="4" xfId="1"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23" fillId="0" borderId="1" xfId="0" applyFont="1" applyFill="1" applyBorder="1" applyAlignment="1">
      <alignment vertical="center"/>
    </xf>
    <xf numFmtId="164" fontId="24" fillId="2" borderId="1" xfId="1" applyNumberFormat="1" applyFont="1" applyFill="1" applyBorder="1" applyAlignment="1">
      <alignment horizontal="center" vertical="center" wrapText="1"/>
    </xf>
    <xf numFmtId="164" fontId="25" fillId="0" borderId="1" xfId="1" applyNumberFormat="1" applyFont="1" applyFill="1" applyBorder="1" applyAlignment="1">
      <alignment horizontal="center" vertical="center" wrapText="1"/>
    </xf>
    <xf numFmtId="0" fontId="23" fillId="0" borderId="1" xfId="0" applyFont="1" applyFill="1" applyBorder="1" applyAlignment="1">
      <alignment horizontal="left" vertical="center" wrapText="1"/>
    </xf>
    <xf numFmtId="164" fontId="26" fillId="0" borderId="1" xfId="1" applyNumberFormat="1" applyFont="1" applyFill="1" applyBorder="1" applyAlignment="1">
      <alignment horizontal="center" vertical="center" wrapText="1"/>
    </xf>
    <xf numFmtId="0" fontId="26" fillId="0" borderId="1" xfId="0" applyFont="1" applyFill="1" applyBorder="1" applyAlignment="1">
      <alignment horizontal="left" vertical="center" wrapText="1"/>
    </xf>
    <xf numFmtId="164" fontId="27" fillId="0" borderId="1" xfId="1" applyNumberFormat="1" applyFont="1" applyFill="1" applyBorder="1" applyAlignment="1">
      <alignment horizontal="center" vertical="center" wrapText="1"/>
    </xf>
    <xf numFmtId="164" fontId="23" fillId="0" borderId="1" xfId="1" applyNumberFormat="1" applyFont="1" applyFill="1" applyBorder="1" applyAlignment="1">
      <alignment vertical="center"/>
    </xf>
    <xf numFmtId="164" fontId="26" fillId="0" borderId="1" xfId="1" applyNumberFormat="1" applyFont="1" applyFill="1" applyBorder="1" applyAlignment="1">
      <alignment vertical="center" wrapText="1"/>
    </xf>
    <xf numFmtId="164" fontId="23" fillId="0" borderId="1" xfId="1" applyNumberFormat="1" applyFont="1" applyFill="1" applyBorder="1" applyAlignment="1">
      <alignment horizontal="left" vertical="center"/>
    </xf>
    <xf numFmtId="164" fontId="21" fillId="0" borderId="1" xfId="1" applyNumberFormat="1" applyFont="1" applyFill="1" applyBorder="1" applyAlignment="1">
      <alignment vertical="center"/>
    </xf>
    <xf numFmtId="164" fontId="18" fillId="0" borderId="1" xfId="1" applyNumberFormat="1" applyFont="1" applyFill="1" applyBorder="1" applyAlignment="1">
      <alignment horizontal="right" vertical="center" wrapText="1"/>
    </xf>
    <xf numFmtId="164" fontId="19" fillId="0" borderId="1" xfId="1" applyNumberFormat="1" applyFont="1" applyFill="1" applyBorder="1" applyAlignment="1">
      <alignment horizontal="right" vertical="center"/>
    </xf>
    <xf numFmtId="164" fontId="17" fillId="0" borderId="1" xfId="1" applyNumberFormat="1" applyFont="1" applyFill="1" applyBorder="1" applyAlignment="1">
      <alignment horizontal="right" vertical="center" wrapText="1"/>
    </xf>
    <xf numFmtId="164" fontId="17" fillId="2" borderId="1" xfId="1" applyNumberFormat="1" applyFont="1" applyFill="1" applyBorder="1" applyAlignment="1">
      <alignment horizontal="right" vertical="center" wrapText="1"/>
    </xf>
    <xf numFmtId="164" fontId="19" fillId="0" borderId="1" xfId="1" applyNumberFormat="1" applyFont="1" applyFill="1" applyBorder="1" applyAlignment="1">
      <alignment horizontal="right" vertical="center" wrapText="1"/>
    </xf>
    <xf numFmtId="164" fontId="14" fillId="0" borderId="1" xfId="1" applyNumberFormat="1" applyFont="1" applyFill="1" applyBorder="1" applyAlignment="1">
      <alignment horizontal="right" vertical="center"/>
    </xf>
    <xf numFmtId="164" fontId="16" fillId="0" borderId="1" xfId="1" applyNumberFormat="1" applyFont="1" applyFill="1" applyBorder="1" applyAlignment="1">
      <alignment horizontal="right" vertical="center" wrapText="1"/>
    </xf>
    <xf numFmtId="164" fontId="28" fillId="0" borderId="1" xfId="1" applyNumberFormat="1" applyFont="1" applyFill="1" applyBorder="1" applyAlignment="1">
      <alignment horizontal="right" vertical="center" wrapText="1"/>
    </xf>
    <xf numFmtId="0" fontId="7" fillId="0" borderId="0" xfId="0" applyFont="1" applyFill="1" applyAlignment="1">
      <alignment horizontal="center" vertical="center" wrapText="1"/>
    </xf>
    <xf numFmtId="164" fontId="13" fillId="0" borderId="0" xfId="1"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66" fontId="7" fillId="0" borderId="1" xfId="1" applyNumberFormat="1" applyFont="1" applyFill="1" applyBorder="1" applyAlignment="1">
      <alignment horizontal="center" vertical="center" wrapText="1"/>
    </xf>
    <xf numFmtId="164" fontId="7" fillId="0" borderId="2" xfId="1" applyNumberFormat="1" applyFont="1" applyFill="1" applyBorder="1" applyAlignment="1">
      <alignment horizontal="center" vertical="center" wrapText="1"/>
    </xf>
    <xf numFmtId="164" fontId="7" fillId="0" borderId="3" xfId="1" applyNumberFormat="1" applyFont="1" applyFill="1" applyBorder="1" applyAlignment="1">
      <alignment horizontal="center" vertical="center" wrapText="1"/>
    </xf>
    <xf numFmtId="164" fontId="7" fillId="0" borderId="4" xfId="1" applyNumberFormat="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164" fontId="5" fillId="0" borderId="2" xfId="1" applyNumberFormat="1" applyFont="1" applyFill="1" applyBorder="1" applyAlignment="1">
      <alignment horizontal="center" vertical="center" wrapText="1"/>
    </xf>
    <xf numFmtId="164" fontId="5" fillId="0" borderId="3" xfId="1" applyNumberFormat="1" applyFont="1" applyFill="1" applyBorder="1" applyAlignment="1">
      <alignment horizontal="center" vertical="center" wrapText="1"/>
    </xf>
    <xf numFmtId="164" fontId="3" fillId="0" borderId="5" xfId="1" applyNumberFormat="1" applyFont="1" applyFill="1" applyBorder="1" applyAlignment="1">
      <alignment horizontal="center" vertical="center" wrapText="1"/>
    </xf>
    <xf numFmtId="0" fontId="2" fillId="0" borderId="0" xfId="0" applyFont="1" applyFill="1" applyAlignment="1">
      <alignment horizontal="center" vertical="center" wrapText="1"/>
    </xf>
    <xf numFmtId="164" fontId="5" fillId="0" borderId="1" xfId="1" applyNumberFormat="1" applyFont="1" applyFill="1" applyBorder="1" applyAlignment="1">
      <alignment horizontal="center" vertical="center" wrapText="1"/>
    </xf>
    <xf numFmtId="164" fontId="5" fillId="0" borderId="4" xfId="1" applyNumberFormat="1" applyFont="1" applyFill="1" applyBorder="1" applyAlignment="1">
      <alignment horizontal="center" vertical="center" wrapText="1"/>
    </xf>
    <xf numFmtId="0" fontId="14" fillId="0" borderId="0" xfId="0" applyFont="1" applyFill="1" applyAlignment="1">
      <alignment horizontal="center" vertical="center" wrapText="1"/>
    </xf>
    <xf numFmtId="0" fontId="15" fillId="0" borderId="0" xfId="0" applyFont="1" applyFill="1" applyAlignment="1">
      <alignment horizontal="center" vertical="center" wrapText="1"/>
    </xf>
    <xf numFmtId="164" fontId="17" fillId="0" borderId="1" xfId="1" applyNumberFormat="1" applyFont="1" applyFill="1" applyBorder="1" applyAlignment="1">
      <alignment horizontal="center" vertical="center" wrapText="1"/>
    </xf>
    <xf numFmtId="164" fontId="17" fillId="0" borderId="2" xfId="1" applyNumberFormat="1" applyFont="1" applyFill="1" applyBorder="1" applyAlignment="1">
      <alignment horizontal="center" vertical="center" wrapText="1"/>
    </xf>
    <xf numFmtId="164" fontId="17" fillId="0" borderId="3" xfId="1" applyNumberFormat="1" applyFont="1" applyFill="1" applyBorder="1" applyAlignment="1">
      <alignment horizontal="center" vertical="center" wrapText="1"/>
    </xf>
    <xf numFmtId="164" fontId="17" fillId="0" borderId="4" xfId="1" applyNumberFormat="1" applyFont="1" applyFill="1" applyBorder="1" applyAlignment="1">
      <alignment horizontal="center" vertical="center" wrapText="1"/>
    </xf>
    <xf numFmtId="164" fontId="15" fillId="0" borderId="5" xfId="1"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21" fillId="0" borderId="0" xfId="0" applyFont="1" applyFill="1" applyAlignment="1">
      <alignment horizontal="center" vertical="center" wrapText="1"/>
    </xf>
    <xf numFmtId="164" fontId="22" fillId="0" borderId="0" xfId="1" applyNumberFormat="1" applyFont="1" applyFill="1" applyBorder="1" applyAlignment="1">
      <alignment horizontal="right" vertical="center" wrapText="1"/>
    </xf>
    <xf numFmtId="164" fontId="22" fillId="0" borderId="5" xfId="1" applyNumberFormat="1" applyFont="1" applyFill="1" applyBorder="1" applyAlignment="1">
      <alignment horizontal="right" vertical="center" wrapText="1"/>
    </xf>
    <xf numFmtId="164" fontId="24" fillId="0" borderId="1" xfId="1" applyNumberFormat="1" applyFont="1" applyFill="1" applyBorder="1" applyAlignment="1">
      <alignment horizontal="center" vertical="center" wrapText="1"/>
    </xf>
    <xf numFmtId="0" fontId="22" fillId="0" borderId="0" xfId="0" applyFont="1" applyFill="1" applyAlignment="1">
      <alignment horizontal="center" vertical="center" wrapText="1"/>
    </xf>
    <xf numFmtId="0" fontId="21" fillId="0" borderId="1" xfId="0" applyFont="1" applyFill="1" applyBorder="1" applyAlignment="1">
      <alignment horizontal="left" vertical="center" wrapText="1"/>
    </xf>
    <xf numFmtId="164" fontId="3" fillId="0" borderId="5" xfId="1" applyNumberFormat="1" applyFont="1" applyFill="1" applyBorder="1" applyAlignment="1">
      <alignment horizontal="right" vertical="center" wrapText="1"/>
    </xf>
    <xf numFmtId="166" fontId="5" fillId="0" borderId="1" xfId="1" applyNumberFormat="1" applyFont="1" applyFill="1" applyBorder="1" applyAlignment="1">
      <alignment horizontal="center" vertical="center" wrapText="1"/>
    </xf>
  </cellXfs>
  <cellStyles count="4">
    <cellStyle name="Comma" xfId="1" builtinId="3"/>
    <cellStyle name="Normal" xfId="0" builtinId="0"/>
    <cellStyle name="Normal 2" xfId="2"/>
    <cellStyle name="Style 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02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HANH%20H&#431;&#416;NG%202022/CT%20MTQG%20KTXH%20V&#217;NG%20&#272;BDTTS/CTMTQG%20PH&#193;T%20TRI&#7874;N%20KTXH%20V&#217;NG%20&#272;BDTTS/PH&#194;N%20B&#7892;%20V&#7888;N%20&#272;TPT%20N&#258;M%202022/TR&#236;nh%20UB/05-9-2022_%20Tr&#236;nh%20danh%20m&#7909;c%2002%20CTMTQ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EHOACH/KHDTCONG2021_2025/TRINH/TRINHHDND/CH&#7888;T%20CU&#7888;I/KH21-25/KH%2021-25%20tr&#236;nh%20k&#7923;%20th&#7913;%207%20chuy&#234;n%20&#273;&#7873;/V&#7889;n%20&#272;T%20NTM/Thuy&#7871;t%20minh%20k&#232;m%20theo%20T&#7901;%20tr&#236;n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25"/>
      <sheetName val="2022"/>
      <sheetName val="Mẫu 21-25"/>
      <sheetName val="Mẫu 2022"/>
    </sheetNames>
    <sheetDataSet>
      <sheetData sheetId="0" refreshError="1">
        <row r="6">
          <cell r="D6">
            <v>21086</v>
          </cell>
          <cell r="G6">
            <v>753</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ẫu 2022"/>
      <sheetName val="Mẫu 21-25"/>
    </sheetNames>
    <sheetDataSet>
      <sheetData sheetId="0">
        <row r="9">
          <cell r="G9">
            <v>160</v>
          </cell>
        </row>
        <row r="10">
          <cell r="G10">
            <v>156.5</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39"/>
  <sheetViews>
    <sheetView zoomScaleNormal="100" workbookViewId="0">
      <pane xSplit="4" ySplit="6" topLeftCell="E37" activePane="bottomRight" state="frozen"/>
      <selection pane="topRight" activeCell="E1" sqref="E1"/>
      <selection pane="bottomLeft" activeCell="A7" sqref="A7"/>
      <selection pane="bottomRight" activeCell="B4" sqref="B4:B5"/>
    </sheetView>
  </sheetViews>
  <sheetFormatPr defaultRowHeight="15" outlineLevelRow="1" x14ac:dyDescent="0.25"/>
  <cols>
    <col min="1" max="1" width="5.7109375" style="66" customWidth="1"/>
    <col min="2" max="2" width="33.42578125" style="85" customWidth="1"/>
    <col min="3" max="3" width="8.7109375" style="65" customWidth="1"/>
    <col min="4" max="4" width="39.7109375" style="65" hidden="1" customWidth="1"/>
    <col min="5" max="5" width="11.42578125" style="67" customWidth="1"/>
    <col min="6" max="6" width="11.5703125" style="67" customWidth="1"/>
    <col min="7" max="7" width="13.28515625" style="67" customWidth="1"/>
    <col min="8" max="8" width="10.7109375" style="67" customWidth="1"/>
    <col min="9" max="9" width="7.42578125" style="68" hidden="1" customWidth="1"/>
    <col min="10" max="10" width="8.28515625" style="68" hidden="1" customWidth="1"/>
    <col min="11" max="11" width="9" style="68" hidden="1" customWidth="1"/>
    <col min="12" max="12" width="39.42578125" style="45" customWidth="1"/>
    <col min="13" max="13" width="7.85546875" style="65" hidden="1" customWidth="1"/>
    <col min="14" max="14" width="5.28515625" style="65" hidden="1" customWidth="1"/>
    <col min="15" max="15" width="5.140625" style="65" hidden="1" customWidth="1"/>
    <col min="16" max="18" width="5.28515625" style="65" hidden="1" customWidth="1"/>
    <col min="19" max="23" width="0" style="65" hidden="1" customWidth="1"/>
    <col min="24" max="24" width="10.42578125" style="65" hidden="1" customWidth="1"/>
    <col min="25" max="25" width="0" style="65" hidden="1" customWidth="1"/>
    <col min="26" max="16384" width="9.140625" style="65"/>
  </cols>
  <sheetData>
    <row r="2" spans="1:24" ht="15" customHeight="1" x14ac:dyDescent="0.25">
      <c r="A2" s="160" t="s">
        <v>0</v>
      </c>
      <c r="B2" s="160"/>
      <c r="C2" s="160"/>
      <c r="D2" s="160"/>
      <c r="E2" s="160"/>
      <c r="F2" s="160"/>
      <c r="G2" s="160"/>
      <c r="H2" s="160"/>
      <c r="I2" s="160"/>
      <c r="J2" s="160"/>
      <c r="K2" s="160"/>
      <c r="L2" s="160"/>
    </row>
    <row r="3" spans="1:24" x14ac:dyDescent="0.25">
      <c r="I3" s="161" t="s">
        <v>1</v>
      </c>
      <c r="J3" s="161"/>
    </row>
    <row r="4" spans="1:24" s="45" customFormat="1" ht="15" customHeight="1" x14ac:dyDescent="0.25">
      <c r="A4" s="162" t="s">
        <v>2</v>
      </c>
      <c r="B4" s="162" t="s">
        <v>3</v>
      </c>
      <c r="C4" s="162" t="s">
        <v>4</v>
      </c>
      <c r="D4" s="162" t="s">
        <v>5</v>
      </c>
      <c r="E4" s="163" t="s">
        <v>6</v>
      </c>
      <c r="F4" s="164" t="s">
        <v>7</v>
      </c>
      <c r="G4" s="165"/>
      <c r="H4" s="165"/>
      <c r="I4" s="165"/>
      <c r="J4" s="165"/>
      <c r="K4" s="166"/>
      <c r="L4" s="167" t="s">
        <v>8</v>
      </c>
    </row>
    <row r="5" spans="1:24" s="45" customFormat="1" ht="85.5" customHeight="1" x14ac:dyDescent="0.25">
      <c r="A5" s="162"/>
      <c r="B5" s="162"/>
      <c r="C5" s="162"/>
      <c r="D5" s="162"/>
      <c r="E5" s="163"/>
      <c r="F5" s="53" t="s">
        <v>9</v>
      </c>
      <c r="G5" s="53" t="s">
        <v>10</v>
      </c>
      <c r="H5" s="53" t="s">
        <v>11</v>
      </c>
      <c r="I5" s="69" t="s">
        <v>12</v>
      </c>
      <c r="J5" s="69" t="s">
        <v>13</v>
      </c>
      <c r="K5" s="69" t="s">
        <v>14</v>
      </c>
      <c r="L5" s="167"/>
    </row>
    <row r="6" spans="1:24" s="45" customFormat="1" ht="40.5" customHeight="1" x14ac:dyDescent="0.25">
      <c r="A6" s="69"/>
      <c r="B6" s="168" t="s">
        <v>15</v>
      </c>
      <c r="C6" s="169"/>
      <c r="D6" s="170"/>
      <c r="E6" s="53">
        <f t="shared" ref="E6:K6" si="0">+E7+E16</f>
        <v>8158.9826273333329</v>
      </c>
      <c r="F6" s="53">
        <f>+G6+H6</f>
        <v>6748</v>
      </c>
      <c r="G6" s="53">
        <f t="shared" si="0"/>
        <v>6305</v>
      </c>
      <c r="H6" s="53">
        <f t="shared" si="0"/>
        <v>443</v>
      </c>
      <c r="I6" s="69">
        <f t="shared" si="0"/>
        <v>0</v>
      </c>
      <c r="J6" s="69">
        <f t="shared" si="0"/>
        <v>798.97429399999987</v>
      </c>
      <c r="K6" s="69">
        <f t="shared" si="0"/>
        <v>619.46388888888885</v>
      </c>
      <c r="L6" s="70" t="s">
        <v>16</v>
      </c>
      <c r="V6" s="71" t="e">
        <f>+G6-'[1]2022'!D6</f>
        <v>#REF!</v>
      </c>
      <c r="W6" s="71"/>
    </row>
    <row r="7" spans="1:24" s="45" customFormat="1" ht="49.5" customHeight="1" x14ac:dyDescent="0.25">
      <c r="A7" s="69" t="s">
        <v>17</v>
      </c>
      <c r="B7" s="168" t="s">
        <v>18</v>
      </c>
      <c r="C7" s="169"/>
      <c r="D7" s="170"/>
      <c r="E7" s="53">
        <f t="shared" ref="E7:K7" si="1">+E8+E12</f>
        <v>1380</v>
      </c>
      <c r="F7" s="53">
        <f t="shared" ref="F7:F39" si="2">+G7+H7</f>
        <v>1380</v>
      </c>
      <c r="G7" s="53">
        <f t="shared" si="1"/>
        <v>937</v>
      </c>
      <c r="H7" s="53">
        <f t="shared" si="1"/>
        <v>443</v>
      </c>
      <c r="I7" s="69">
        <f t="shared" si="1"/>
        <v>0</v>
      </c>
      <c r="J7" s="69">
        <f t="shared" si="1"/>
        <v>0</v>
      </c>
      <c r="K7" s="69">
        <f t="shared" si="1"/>
        <v>0</v>
      </c>
      <c r="L7" s="36"/>
    </row>
    <row r="8" spans="1:24" s="32" customFormat="1" ht="33" customHeight="1" x14ac:dyDescent="0.25">
      <c r="A8" s="69" t="s">
        <v>19</v>
      </c>
      <c r="B8" s="168" t="s">
        <v>20</v>
      </c>
      <c r="C8" s="169"/>
      <c r="D8" s="170"/>
      <c r="E8" s="53">
        <f>+SUM(E9:E11)</f>
        <v>861</v>
      </c>
      <c r="F8" s="53">
        <f t="shared" si="2"/>
        <v>861</v>
      </c>
      <c r="G8" s="53">
        <f>+SUM(G9:G11)</f>
        <v>563</v>
      </c>
      <c r="H8" s="53">
        <f>+SUM(H9:H11)</f>
        <v>298</v>
      </c>
      <c r="I8" s="69">
        <f t="shared" ref="I8:K8" si="3">+SUM(I9:I11)</f>
        <v>0</v>
      </c>
      <c r="J8" s="69">
        <f t="shared" si="3"/>
        <v>0</v>
      </c>
      <c r="K8" s="69">
        <f t="shared" si="3"/>
        <v>0</v>
      </c>
      <c r="L8" s="69" t="s">
        <v>21</v>
      </c>
      <c r="S8" s="43">
        <f>E9+E10+E11-E8</f>
        <v>0</v>
      </c>
      <c r="X8" s="79"/>
    </row>
    <row r="9" spans="1:24" s="45" customFormat="1" x14ac:dyDescent="0.25">
      <c r="A9" s="42">
        <v>1</v>
      </c>
      <c r="B9" s="27" t="s">
        <v>22</v>
      </c>
      <c r="C9" s="42"/>
      <c r="D9" s="42" t="s">
        <v>23</v>
      </c>
      <c r="E9" s="62">
        <f t="shared" ref="E9:E11" si="4">+SUM(G9:K9)</f>
        <v>176</v>
      </c>
      <c r="F9" s="62">
        <f t="shared" si="2"/>
        <v>176</v>
      </c>
      <c r="G9" s="62">
        <v>160</v>
      </c>
      <c r="H9" s="62">
        <v>16</v>
      </c>
      <c r="I9" s="42"/>
      <c r="J9" s="42"/>
      <c r="K9" s="42"/>
      <c r="L9" s="42" t="s">
        <v>23</v>
      </c>
      <c r="T9" s="45">
        <f>7*22.5</f>
        <v>157.5</v>
      </c>
    </row>
    <row r="10" spans="1:24" s="45" customFormat="1" x14ac:dyDescent="0.25">
      <c r="A10" s="42">
        <v>2</v>
      </c>
      <c r="B10" s="27" t="s">
        <v>22</v>
      </c>
      <c r="C10" s="42"/>
      <c r="D10" s="42" t="s">
        <v>143</v>
      </c>
      <c r="E10" s="62">
        <f t="shared" si="4"/>
        <v>236.5</v>
      </c>
      <c r="F10" s="62">
        <f t="shared" si="2"/>
        <v>236.5</v>
      </c>
      <c r="G10" s="62">
        <f>7*22.5-1</f>
        <v>156.5</v>
      </c>
      <c r="H10" s="62">
        <v>80</v>
      </c>
      <c r="I10" s="42"/>
      <c r="J10" s="42"/>
      <c r="K10" s="42"/>
      <c r="L10" s="42" t="s">
        <v>143</v>
      </c>
      <c r="T10" s="71">
        <f>(H8-H9)/18</f>
        <v>15.666666666666666</v>
      </c>
      <c r="W10" s="45">
        <f>(298-16)/7</f>
        <v>40.285714285714285</v>
      </c>
      <c r="X10" s="45">
        <f>W10*2</f>
        <v>80.571428571428569</v>
      </c>
    </row>
    <row r="11" spans="1:24" s="45" customFormat="1" x14ac:dyDescent="0.25">
      <c r="A11" s="42">
        <v>3</v>
      </c>
      <c r="B11" s="27" t="s">
        <v>24</v>
      </c>
      <c r="C11" s="42"/>
      <c r="D11" s="42" t="s">
        <v>144</v>
      </c>
      <c r="E11" s="62">
        <f t="shared" si="4"/>
        <v>448.5</v>
      </c>
      <c r="F11" s="62">
        <f t="shared" si="2"/>
        <v>448.5</v>
      </c>
      <c r="G11" s="62">
        <f>11*22.5-1</f>
        <v>246.5</v>
      </c>
      <c r="H11" s="62">
        <v>202</v>
      </c>
      <c r="I11" s="42"/>
      <c r="J11" s="42"/>
      <c r="K11" s="42"/>
      <c r="L11" s="42" t="s">
        <v>144</v>
      </c>
      <c r="T11" s="71">
        <f>T10*6</f>
        <v>94</v>
      </c>
      <c r="X11" s="45">
        <f>W10*5</f>
        <v>201.42857142857142</v>
      </c>
    </row>
    <row r="12" spans="1:24" s="32" customFormat="1" ht="56.25" customHeight="1" x14ac:dyDescent="0.25">
      <c r="A12" s="69" t="s">
        <v>25</v>
      </c>
      <c r="B12" s="168" t="s">
        <v>26</v>
      </c>
      <c r="C12" s="169"/>
      <c r="D12" s="170"/>
      <c r="E12" s="53">
        <f>+SUM(G12:K12)</f>
        <v>519</v>
      </c>
      <c r="F12" s="53">
        <f t="shared" si="2"/>
        <v>519</v>
      </c>
      <c r="G12" s="53">
        <f>+SUM(G13:G15)</f>
        <v>374</v>
      </c>
      <c r="H12" s="53">
        <f>+SUM(H13:H15)</f>
        <v>145</v>
      </c>
      <c r="I12" s="69">
        <f t="shared" ref="I12:K12" si="5">+SUM(I13:I15)</f>
        <v>0</v>
      </c>
      <c r="J12" s="69">
        <f t="shared" si="5"/>
        <v>0</v>
      </c>
      <c r="K12" s="69">
        <f t="shared" si="5"/>
        <v>0</v>
      </c>
      <c r="L12" s="69" t="s">
        <v>27</v>
      </c>
      <c r="S12" s="43">
        <f>E13+E14+E15-E12</f>
        <v>0</v>
      </c>
      <c r="T12" s="43">
        <f>T10*12</f>
        <v>188</v>
      </c>
      <c r="X12" s="72"/>
    </row>
    <row r="13" spans="1:24" s="45" customFormat="1" ht="30" x14ac:dyDescent="0.25">
      <c r="A13" s="42">
        <v>1</v>
      </c>
      <c r="B13" s="27" t="s">
        <v>28</v>
      </c>
      <c r="C13" s="42"/>
      <c r="D13" s="42" t="s">
        <v>29</v>
      </c>
      <c r="E13" s="62">
        <f t="shared" ref="E13:E15" si="6">+SUM(G13:K13)</f>
        <v>20</v>
      </c>
      <c r="F13" s="62">
        <f t="shared" si="2"/>
        <v>20</v>
      </c>
      <c r="G13" s="62"/>
      <c r="H13" s="62">
        <v>20</v>
      </c>
      <c r="I13" s="42"/>
      <c r="J13" s="42"/>
      <c r="K13" s="42"/>
      <c r="L13" s="42" t="s">
        <v>29</v>
      </c>
    </row>
    <row r="14" spans="1:24" s="45" customFormat="1" ht="30" x14ac:dyDescent="0.25">
      <c r="A14" s="42">
        <v>2</v>
      </c>
      <c r="B14" s="27" t="s">
        <v>22</v>
      </c>
      <c r="C14" s="42"/>
      <c r="D14" s="42" t="s">
        <v>29</v>
      </c>
      <c r="E14" s="62">
        <f t="shared" si="6"/>
        <v>20</v>
      </c>
      <c r="F14" s="62">
        <f t="shared" si="2"/>
        <v>20</v>
      </c>
      <c r="G14" s="62"/>
      <c r="H14" s="62">
        <v>20</v>
      </c>
      <c r="I14" s="42"/>
      <c r="J14" s="42"/>
      <c r="K14" s="42"/>
      <c r="L14" s="42" t="s">
        <v>29</v>
      </c>
    </row>
    <row r="15" spans="1:24" s="45" customFormat="1" ht="30" x14ac:dyDescent="0.25">
      <c r="A15" s="42">
        <v>3</v>
      </c>
      <c r="B15" s="27" t="s">
        <v>30</v>
      </c>
      <c r="C15" s="42"/>
      <c r="D15" s="42" t="s">
        <v>31</v>
      </c>
      <c r="E15" s="62">
        <f t="shared" si="6"/>
        <v>479</v>
      </c>
      <c r="F15" s="62">
        <f t="shared" si="2"/>
        <v>479</v>
      </c>
      <c r="G15" s="62">
        <v>374</v>
      </c>
      <c r="H15" s="62">
        <v>105</v>
      </c>
      <c r="I15" s="42"/>
      <c r="J15" s="42"/>
      <c r="K15" s="42"/>
      <c r="L15" s="42" t="s">
        <v>31</v>
      </c>
    </row>
    <row r="16" spans="1:24" s="45" customFormat="1" ht="29.25" customHeight="1" x14ac:dyDescent="0.25">
      <c r="A16" s="70" t="s">
        <v>32</v>
      </c>
      <c r="B16" s="168" t="s">
        <v>33</v>
      </c>
      <c r="C16" s="169"/>
      <c r="D16" s="170"/>
      <c r="E16" s="53">
        <f t="shared" ref="E16:K16" si="7">+E17+E19+E21+E23+E26+E28+E33+E38</f>
        <v>6778.9826273333329</v>
      </c>
      <c r="F16" s="53">
        <f t="shared" si="2"/>
        <v>5368</v>
      </c>
      <c r="G16" s="53">
        <f t="shared" si="7"/>
        <v>5368</v>
      </c>
      <c r="H16" s="53">
        <f t="shared" si="7"/>
        <v>0</v>
      </c>
      <c r="I16" s="69">
        <f t="shared" si="7"/>
        <v>0</v>
      </c>
      <c r="J16" s="69">
        <f t="shared" si="7"/>
        <v>798.97429399999987</v>
      </c>
      <c r="K16" s="69">
        <f t="shared" si="7"/>
        <v>619.46388888888885</v>
      </c>
      <c r="L16" s="69" t="s">
        <v>34</v>
      </c>
      <c r="M16" s="44">
        <f>671*8</f>
        <v>5368</v>
      </c>
      <c r="N16" s="44">
        <f t="shared" ref="N16:Q17" si="8">+H16/$E$22*100</f>
        <v>0</v>
      </c>
      <c r="O16" s="44">
        <f t="shared" si="8"/>
        <v>0</v>
      </c>
      <c r="P16" s="44">
        <f t="shared" si="8"/>
        <v>97.422688605879955</v>
      </c>
      <c r="Q16" s="44">
        <f t="shared" si="8"/>
        <v>75.534141715214744</v>
      </c>
    </row>
    <row r="17" spans="1:18" s="45" customFormat="1" x14ac:dyDescent="0.25">
      <c r="A17" s="15" t="s">
        <v>19</v>
      </c>
      <c r="B17" s="86" t="s">
        <v>30</v>
      </c>
      <c r="C17" s="18"/>
      <c r="D17" s="18"/>
      <c r="E17" s="73">
        <f>+E18</f>
        <v>820.11111111111109</v>
      </c>
      <c r="F17" s="53">
        <f t="shared" si="2"/>
        <v>671</v>
      </c>
      <c r="G17" s="73">
        <f t="shared" ref="G17:K17" si="9">+G18</f>
        <v>671</v>
      </c>
      <c r="H17" s="73">
        <f t="shared" si="9"/>
        <v>0</v>
      </c>
      <c r="I17" s="74">
        <f t="shared" si="9"/>
        <v>0</v>
      </c>
      <c r="J17" s="74">
        <f t="shared" si="9"/>
        <v>67.099999999999994</v>
      </c>
      <c r="K17" s="74">
        <f t="shared" si="9"/>
        <v>82.01111111111112</v>
      </c>
      <c r="L17" s="75"/>
      <c r="M17" s="44">
        <f>+M16-G16</f>
        <v>0</v>
      </c>
      <c r="N17" s="44">
        <f t="shared" si="8"/>
        <v>0</v>
      </c>
      <c r="O17" s="44">
        <f t="shared" si="8"/>
        <v>0</v>
      </c>
      <c r="P17" s="44">
        <f t="shared" si="8"/>
        <v>8.1818181818181817</v>
      </c>
      <c r="Q17" s="44">
        <f t="shared" si="8"/>
        <v>10.000000000000002</v>
      </c>
    </row>
    <row r="18" spans="1:18" s="77" customFormat="1" ht="105" customHeight="1" outlineLevel="1" x14ac:dyDescent="0.25">
      <c r="A18" s="42">
        <f>+'BIểu 2'!A24</f>
        <v>1</v>
      </c>
      <c r="B18" s="37" t="str">
        <f>+'BIểu 2'!B24</f>
        <v>Duy tu đường BTXM thôn 1;2;3;4; Đồng Bằng</v>
      </c>
      <c r="C18" s="42" t="str">
        <f>+'BIểu 2'!C24</f>
        <v>Xã Biển Hồ</v>
      </c>
      <c r="D18" s="76" t="str">
        <f>+'BIểu 2'!D24</f>
        <v>Duy tu đường nhựa: Từ nhà ông Vỉnh đến nhà Ông Thành Thôn 1; l=463m, Nhà bà Liên đến nhà Ông Tỉnh Thôn 2; L= 745m;  Từ nhà Ông Thắng đến nhà ông Nat Thôn 3; L=184m; ừ 56 Hàn Thuyên đến nhà ông Tiến Thôn 4; L=176m;  đoạn từ nhà ông Cần đến nhà bà Phong thôn Đồng Bằng Nhựa L=350 m.</v>
      </c>
      <c r="E18" s="62">
        <f>+'BIểu 2'!E24</f>
        <v>820.11111111111109</v>
      </c>
      <c r="F18" s="62">
        <f t="shared" si="2"/>
        <v>671</v>
      </c>
      <c r="G18" s="62">
        <f>+'BIểu 2'!G24</f>
        <v>671</v>
      </c>
      <c r="H18" s="62">
        <f>+'BIểu 2'!H24</f>
        <v>0</v>
      </c>
      <c r="I18" s="42">
        <f>+'BIểu 2'!I24</f>
        <v>0</v>
      </c>
      <c r="J18" s="42">
        <f>+'BIểu 2'!J24</f>
        <v>67.099999999999994</v>
      </c>
      <c r="K18" s="42">
        <f>+'BIểu 2'!K24</f>
        <v>82.01111111111112</v>
      </c>
      <c r="L18" s="75" t="s">
        <v>58</v>
      </c>
      <c r="M18" s="43">
        <f t="shared" ref="M18" si="10">+N18+O18+P18+Q18+R18</f>
        <v>100.00000000000001</v>
      </c>
      <c r="N18" s="44">
        <f t="shared" ref="N18:R18" si="11">+G18/$E18*100</f>
        <v>81.818181818181827</v>
      </c>
      <c r="O18" s="44">
        <f t="shared" si="11"/>
        <v>0</v>
      </c>
      <c r="P18" s="44">
        <f t="shared" si="11"/>
        <v>0</v>
      </c>
      <c r="Q18" s="44">
        <f t="shared" si="11"/>
        <v>8.1818181818181817</v>
      </c>
      <c r="R18" s="44">
        <f t="shared" si="11"/>
        <v>10.000000000000002</v>
      </c>
    </row>
    <row r="19" spans="1:18" s="32" customFormat="1" x14ac:dyDescent="0.25">
      <c r="A19" s="15" t="s">
        <v>25</v>
      </c>
      <c r="B19" s="87" t="s">
        <v>28</v>
      </c>
      <c r="C19" s="70"/>
      <c r="D19" s="70"/>
      <c r="E19" s="73">
        <f>+E20</f>
        <v>820.11111111111109</v>
      </c>
      <c r="F19" s="53">
        <f t="shared" si="2"/>
        <v>671</v>
      </c>
      <c r="G19" s="73">
        <f t="shared" ref="G19:K19" si="12">+G20</f>
        <v>671</v>
      </c>
      <c r="H19" s="73">
        <f t="shared" si="12"/>
        <v>0</v>
      </c>
      <c r="I19" s="74">
        <f t="shared" si="12"/>
        <v>0</v>
      </c>
      <c r="J19" s="74">
        <f t="shared" si="12"/>
        <v>67.099999999999994</v>
      </c>
      <c r="K19" s="74">
        <f t="shared" si="12"/>
        <v>82.01111111111112</v>
      </c>
      <c r="L19" s="75"/>
      <c r="M19" s="44">
        <f>+M17/2</f>
        <v>0</v>
      </c>
      <c r="N19" s="44">
        <f>+H19/$E$22*100</f>
        <v>0</v>
      </c>
      <c r="O19" s="44">
        <f>+I19/$E$22*100</f>
        <v>0</v>
      </c>
      <c r="P19" s="44">
        <f>+J19/$E$22*100</f>
        <v>8.1818181818181817</v>
      </c>
      <c r="Q19" s="44">
        <f>+K19/$E$22*100</f>
        <v>10.000000000000002</v>
      </c>
    </row>
    <row r="20" spans="1:18" s="32" customFormat="1" ht="127.5" customHeight="1" x14ac:dyDescent="0.25">
      <c r="A20" s="16">
        <f>+'BIểu 2'!A29</f>
        <v>1</v>
      </c>
      <c r="B20" s="88" t="str">
        <f>+'BIểu 2'!B29</f>
        <v>Duy tu đường nhựa thôn Tiên Sơn 1; làng Têng 2; đường BTXM thôn Tiên Sơn 2</v>
      </c>
      <c r="C20" s="16" t="str">
        <f>+'BIểu 2'!C29</f>
        <v>Xã Tân Sơn</v>
      </c>
      <c r="D20" s="16" t="str">
        <f>+'BIểu 2'!D29</f>
        <v>- Duy tu đường nhựa thôn Tiên Sơn 1 từ cổng chào thôn Tiên Sơn 1 đến nhà SHCĐ làng Tiêng 1; L= 990 m
- Duy tu đường nhựa làng Têng 2 từ cổng chào làng Têng2 đến nhà SHCĐ làng Tiêng 2; L = 100 m
- Duy tu đường BTXM thôn Tiên Sơn 2 từ từ nghĩa địa đến ngã 3 đường nhựa; L = 370 m</v>
      </c>
      <c r="E20" s="62">
        <f>+'BIểu 2'!E29</f>
        <v>820.11111111111109</v>
      </c>
      <c r="F20" s="62">
        <f t="shared" si="2"/>
        <v>671</v>
      </c>
      <c r="G20" s="62">
        <f>+'BIểu 2'!G29</f>
        <v>671</v>
      </c>
      <c r="H20" s="62">
        <f>+'BIểu 2'!H29</f>
        <v>0</v>
      </c>
      <c r="I20" s="42">
        <f>+'BIểu 2'!I29</f>
        <v>0</v>
      </c>
      <c r="J20" s="42">
        <f>+'BIểu 2'!J29</f>
        <v>67.099999999999994</v>
      </c>
      <c r="K20" s="42">
        <f>+'BIểu 2'!K29</f>
        <v>82.01111111111112</v>
      </c>
      <c r="L20" s="76" t="str">
        <f>+'BIểu 2'!L29</f>
        <v>- Duy tu đường nhựa thôn Tiên Sơn 1 từ cổng chào thôn Tiên Sơn 1 đến nhà SHCĐ làng Tiêng 1; L= 990 m
- Duy tu đường nhựa làng Têng 2 từ cổng chào làng Têng2 đến nhà SHCĐ làng Tiêng 2; L = 100 m
- Duy tu đường BTXM thôn Tiên Sơn 2 từ từ nghĩa địa đến ngã 3 đường nhựa; L = 370 m</v>
      </c>
      <c r="M20" s="44"/>
      <c r="N20" s="44"/>
      <c r="O20" s="44"/>
      <c r="P20" s="44"/>
      <c r="Q20" s="44"/>
    </row>
    <row r="21" spans="1:18" s="32" customFormat="1" x14ac:dyDescent="0.25">
      <c r="A21" s="15" t="s">
        <v>35</v>
      </c>
      <c r="B21" s="86" t="s">
        <v>36</v>
      </c>
      <c r="C21" s="18"/>
      <c r="D21" s="18"/>
      <c r="E21" s="58">
        <f>+E22</f>
        <v>820.11111111111109</v>
      </c>
      <c r="F21" s="53">
        <f t="shared" si="2"/>
        <v>671</v>
      </c>
      <c r="G21" s="58">
        <f t="shared" ref="G21:K21" si="13">+G22</f>
        <v>671</v>
      </c>
      <c r="H21" s="58">
        <f t="shared" si="13"/>
        <v>0</v>
      </c>
      <c r="I21" s="30">
        <f t="shared" si="13"/>
        <v>0</v>
      </c>
      <c r="J21" s="30">
        <f t="shared" si="13"/>
        <v>67.099999999999994</v>
      </c>
      <c r="K21" s="30">
        <f t="shared" si="13"/>
        <v>82.01111111111112</v>
      </c>
      <c r="L21" s="75"/>
      <c r="M21" s="44"/>
      <c r="N21" s="44">
        <f t="shared" ref="N21:Q28" si="14">+H21/$E21*100</f>
        <v>0</v>
      </c>
      <c r="O21" s="44">
        <f t="shared" si="14"/>
        <v>0</v>
      </c>
      <c r="P21" s="44">
        <f t="shared" si="14"/>
        <v>8.1818181818181817</v>
      </c>
      <c r="Q21" s="44">
        <f t="shared" si="14"/>
        <v>10.000000000000002</v>
      </c>
    </row>
    <row r="22" spans="1:18" s="77" customFormat="1" ht="30" outlineLevel="1" x14ac:dyDescent="0.25">
      <c r="A22" s="42">
        <f>+'BIểu 2'!A35</f>
        <v>1</v>
      </c>
      <c r="B22" s="37" t="str">
        <f>+'BIểu 2'!B35</f>
        <v>Xây dựng mới Nhà Văn hóa thôn 4</v>
      </c>
      <c r="C22" s="42" t="str">
        <f>+'BIểu 2'!C35</f>
        <v>Xã An Phú</v>
      </c>
      <c r="D22" s="76" t="str">
        <f>+'BIểu 2'!D35</f>
        <v>Xây dựng mới Nhà cấp 4</v>
      </c>
      <c r="E22" s="62">
        <f>+'BIểu 2'!E35</f>
        <v>820.11111111111109</v>
      </c>
      <c r="F22" s="62">
        <f t="shared" si="2"/>
        <v>671</v>
      </c>
      <c r="G22" s="62">
        <f>+'BIểu 2'!G35</f>
        <v>671</v>
      </c>
      <c r="H22" s="62">
        <f>+'BIểu 2'!H35</f>
        <v>0</v>
      </c>
      <c r="I22" s="42">
        <f>+'BIểu 2'!I35</f>
        <v>0</v>
      </c>
      <c r="J22" s="42">
        <f>+'BIểu 2'!J35</f>
        <v>67.099999999999994</v>
      </c>
      <c r="K22" s="42">
        <f>+'BIểu 2'!K35</f>
        <v>82.01111111111112</v>
      </c>
      <c r="L22" s="75" t="s">
        <v>70</v>
      </c>
      <c r="M22" s="43"/>
      <c r="N22" s="44">
        <f t="shared" si="14"/>
        <v>0</v>
      </c>
      <c r="O22" s="44">
        <f t="shared" si="14"/>
        <v>0</v>
      </c>
      <c r="P22" s="44">
        <f t="shared" si="14"/>
        <v>8.1818181818181817</v>
      </c>
      <c r="Q22" s="44">
        <f t="shared" si="14"/>
        <v>10.000000000000002</v>
      </c>
      <c r="R22" s="44"/>
    </row>
    <row r="23" spans="1:18" s="32" customFormat="1" x14ac:dyDescent="0.25">
      <c r="A23" s="15" t="s">
        <v>37</v>
      </c>
      <c r="B23" s="86" t="s">
        <v>38</v>
      </c>
      <c r="C23" s="18"/>
      <c r="D23" s="18"/>
      <c r="E23" s="58">
        <f>+E24+E25</f>
        <v>738.1</v>
      </c>
      <c r="F23" s="53">
        <f t="shared" si="2"/>
        <v>671</v>
      </c>
      <c r="G23" s="58">
        <f t="shared" ref="G23:K23" si="15">+G24+G25</f>
        <v>671</v>
      </c>
      <c r="H23" s="58">
        <f t="shared" si="15"/>
        <v>0</v>
      </c>
      <c r="I23" s="30">
        <f t="shared" si="15"/>
        <v>0</v>
      </c>
      <c r="J23" s="30">
        <f t="shared" si="15"/>
        <v>0</v>
      </c>
      <c r="K23" s="30">
        <f t="shared" si="15"/>
        <v>74.555555555555543</v>
      </c>
      <c r="L23" s="61"/>
      <c r="M23" s="44"/>
      <c r="N23" s="44">
        <f t="shared" si="14"/>
        <v>0</v>
      </c>
      <c r="O23" s="44">
        <f t="shared" si="14"/>
        <v>0</v>
      </c>
      <c r="P23" s="44">
        <f t="shared" si="14"/>
        <v>0</v>
      </c>
      <c r="Q23" s="44">
        <f t="shared" si="14"/>
        <v>10.1010101010101</v>
      </c>
    </row>
    <row r="24" spans="1:18" s="77" customFormat="1" ht="45" outlineLevel="1" x14ac:dyDescent="0.25">
      <c r="A24" s="42">
        <f>+'BIểu 2'!A40</f>
        <v>1</v>
      </c>
      <c r="B24" s="37" t="str">
        <f>+'BIểu 2'!B40</f>
        <v>Đường bê tông xi măng từ nhà Nhol đến cuối đường, Làng O Sơr</v>
      </c>
      <c r="C24" s="42" t="str">
        <f>+'BIểu 2'!C40</f>
        <v>Xã Ia Kênh</v>
      </c>
      <c r="D24" s="42" t="str">
        <f>+'BIểu 2'!D40</f>
        <v>Max 200 dày 16 cm, rộng 3,5m, lắp đạt cống thoát nước và vét mương 2 bên, L= 600 m</v>
      </c>
      <c r="E24" s="62">
        <f>+'BIểu 2'!E40</f>
        <v>671</v>
      </c>
      <c r="F24" s="62">
        <f t="shared" si="2"/>
        <v>610</v>
      </c>
      <c r="G24" s="62">
        <f>+'BIểu 2'!G40</f>
        <v>610</v>
      </c>
      <c r="H24" s="62">
        <f>+'BIểu 2'!H40</f>
        <v>0</v>
      </c>
      <c r="I24" s="42">
        <f>+'BIểu 2'!I40</f>
        <v>0</v>
      </c>
      <c r="J24" s="42">
        <f>+'BIểu 2'!J40</f>
        <v>0</v>
      </c>
      <c r="K24" s="42">
        <f>+'BIểu 2'!K40</f>
        <v>67.777777777777771</v>
      </c>
      <c r="L24" s="61" t="s">
        <v>77</v>
      </c>
      <c r="M24" s="44">
        <f>+G24/$E24*100</f>
        <v>90.909090909090907</v>
      </c>
      <c r="N24" s="44">
        <f t="shared" si="14"/>
        <v>0</v>
      </c>
      <c r="O24" s="44">
        <f t="shared" si="14"/>
        <v>0</v>
      </c>
      <c r="P24" s="44">
        <f t="shared" si="14"/>
        <v>0</v>
      </c>
      <c r="Q24" s="44">
        <f t="shared" si="14"/>
        <v>10.1010101010101</v>
      </c>
    </row>
    <row r="25" spans="1:18" s="77" customFormat="1" ht="30" outlineLevel="1" x14ac:dyDescent="0.25">
      <c r="A25" s="42">
        <f>+'BIểu 2'!A41</f>
        <v>2</v>
      </c>
      <c r="B25" s="37" t="str">
        <f>+'BIểu 2'!B41</f>
        <v>Lắp đặt cống thoát nước xuống giọt Làng Nhao 2</v>
      </c>
      <c r="C25" s="42" t="str">
        <f>+'BIểu 2'!C41</f>
        <v>Xã Ia Kênh</v>
      </c>
      <c r="D25" s="42" t="str">
        <f>+'BIểu 2'!D41</f>
        <v>Lắp đặt cống tròn, xây kè đá hai đầu</v>
      </c>
      <c r="E25" s="62">
        <f>+'BIểu 2'!E41</f>
        <v>67.099999999999994</v>
      </c>
      <c r="F25" s="62">
        <f t="shared" si="2"/>
        <v>61</v>
      </c>
      <c r="G25" s="62">
        <f>+'BIểu 2'!G41</f>
        <v>61</v>
      </c>
      <c r="H25" s="62">
        <f>+'BIểu 2'!H41</f>
        <v>0</v>
      </c>
      <c r="I25" s="42">
        <f>+'BIểu 2'!I41</f>
        <v>0</v>
      </c>
      <c r="J25" s="42">
        <f>+'BIểu 2'!J41</f>
        <v>0</v>
      </c>
      <c r="K25" s="42">
        <f>+'BIểu 2'!K41</f>
        <v>6.7777777777777777</v>
      </c>
      <c r="L25" s="61" t="s">
        <v>79</v>
      </c>
      <c r="M25" s="44">
        <f>+G25/$E25*100</f>
        <v>90.909090909090921</v>
      </c>
      <c r="N25" s="44">
        <f t="shared" si="14"/>
        <v>0</v>
      </c>
      <c r="O25" s="44">
        <f t="shared" si="14"/>
        <v>0</v>
      </c>
      <c r="P25" s="44">
        <f t="shared" si="14"/>
        <v>0</v>
      </c>
      <c r="Q25" s="44">
        <f t="shared" si="14"/>
        <v>10.101010101010102</v>
      </c>
    </row>
    <row r="26" spans="1:18" s="32" customFormat="1" x14ac:dyDescent="0.25">
      <c r="A26" s="30" t="s">
        <v>39</v>
      </c>
      <c r="B26" s="89" t="s">
        <v>22</v>
      </c>
      <c r="C26" s="74"/>
      <c r="D26" s="74"/>
      <c r="E26" s="73">
        <f>+E27</f>
        <v>745</v>
      </c>
      <c r="F26" s="53">
        <f t="shared" si="2"/>
        <v>671</v>
      </c>
      <c r="G26" s="73">
        <f t="shared" ref="G26:K26" si="16">+G27</f>
        <v>671</v>
      </c>
      <c r="H26" s="73">
        <f t="shared" si="16"/>
        <v>0</v>
      </c>
      <c r="I26" s="74">
        <f t="shared" si="16"/>
        <v>0</v>
      </c>
      <c r="J26" s="74">
        <f t="shared" si="16"/>
        <v>0</v>
      </c>
      <c r="K26" s="74">
        <f t="shared" si="16"/>
        <v>74</v>
      </c>
      <c r="L26" s="61"/>
      <c r="M26" s="44"/>
      <c r="N26" s="44">
        <f t="shared" si="14"/>
        <v>0</v>
      </c>
      <c r="O26" s="44">
        <f t="shared" si="14"/>
        <v>0</v>
      </c>
      <c r="P26" s="44">
        <f t="shared" si="14"/>
        <v>0</v>
      </c>
      <c r="Q26" s="44">
        <f t="shared" si="14"/>
        <v>9.9328859060402692</v>
      </c>
    </row>
    <row r="27" spans="1:18" s="45" customFormat="1" ht="45" outlineLevel="1" x14ac:dyDescent="0.25">
      <c r="A27" s="42">
        <f>+'BIểu 2'!A47</f>
        <v>1</v>
      </c>
      <c r="B27" s="37" t="str">
        <f>+'BIểu 2'!B47</f>
        <v>Đường GTNT Làng B đoạn từ nhà bà RChâm Blenh đến nhà bà Đào Thị Xướng, Làng B</v>
      </c>
      <c r="C27" s="42" t="str">
        <f>+'BIểu 2'!C47</f>
        <v>Xã Gào</v>
      </c>
      <c r="D27" s="42" t="str">
        <f>+'BIểu 2'!D47</f>
        <v xml:space="preserve">Đường BTXM  đá 2x4, M250. dày 16cm;
 Bm=3,5m, chiều dài L=780m </v>
      </c>
      <c r="E27" s="62">
        <f>+'BIểu 2'!E47</f>
        <v>745</v>
      </c>
      <c r="F27" s="53">
        <f t="shared" si="2"/>
        <v>671</v>
      </c>
      <c r="G27" s="62">
        <f>+'BIểu 2'!G47</f>
        <v>671</v>
      </c>
      <c r="H27" s="62">
        <f>+'BIểu 2'!H47</f>
        <v>0</v>
      </c>
      <c r="I27" s="42">
        <f>+'BIểu 2'!I47</f>
        <v>0</v>
      </c>
      <c r="J27" s="42">
        <f>+'BIểu 2'!J47</f>
        <v>0</v>
      </c>
      <c r="K27" s="42">
        <f>+'BIểu 2'!K47</f>
        <v>74</v>
      </c>
      <c r="L27" s="33" t="s">
        <v>90</v>
      </c>
      <c r="M27" s="44"/>
      <c r="N27" s="44">
        <f t="shared" si="14"/>
        <v>0</v>
      </c>
      <c r="O27" s="44">
        <f t="shared" si="14"/>
        <v>0</v>
      </c>
      <c r="P27" s="44">
        <f t="shared" si="14"/>
        <v>0</v>
      </c>
      <c r="Q27" s="44">
        <f t="shared" si="14"/>
        <v>9.9328859060402692</v>
      </c>
    </row>
    <row r="28" spans="1:18" s="32" customFormat="1" x14ac:dyDescent="0.25">
      <c r="A28" s="30" t="s">
        <v>40</v>
      </c>
      <c r="B28" s="89" t="s">
        <v>41</v>
      </c>
      <c r="C28" s="74"/>
      <c r="D28" s="74"/>
      <c r="E28" s="73">
        <f>+SUM(E29:E32)</f>
        <v>1058.7992939999999</v>
      </c>
      <c r="F28" s="53">
        <f t="shared" si="2"/>
        <v>671.00000000000011</v>
      </c>
      <c r="G28" s="73">
        <f t="shared" ref="G28:K28" si="17">+SUM(G29:G32)</f>
        <v>671.00000000000011</v>
      </c>
      <c r="H28" s="73">
        <f t="shared" si="17"/>
        <v>0</v>
      </c>
      <c r="I28" s="74">
        <f t="shared" si="17"/>
        <v>0</v>
      </c>
      <c r="J28" s="74">
        <f t="shared" si="17"/>
        <v>340.59929399999999</v>
      </c>
      <c r="K28" s="74">
        <f t="shared" si="17"/>
        <v>47.2</v>
      </c>
      <c r="L28" s="75"/>
      <c r="M28" s="44"/>
      <c r="N28" s="44">
        <f t="shared" si="14"/>
        <v>0</v>
      </c>
      <c r="O28" s="44">
        <f t="shared" si="14"/>
        <v>0</v>
      </c>
      <c r="P28" s="44">
        <f t="shared" si="14"/>
        <v>32.168447403592623</v>
      </c>
      <c r="Q28" s="44">
        <f t="shared" si="14"/>
        <v>4.4578798141888454</v>
      </c>
    </row>
    <row r="29" spans="1:18" s="32" customFormat="1" ht="45" outlineLevel="1" x14ac:dyDescent="0.25">
      <c r="A29" s="39">
        <f>+'BIểu 2'!A52</f>
        <v>1</v>
      </c>
      <c r="B29" s="27" t="str">
        <f>+'BIểu 2'!B52</f>
        <v>Duy tu đường ngõ xóm thôn 1, điểm đầu giáp đường Trần Can điểm cuối giáp đất nhà ông Nguyễn Hồng</v>
      </c>
      <c r="C29" s="61" t="str">
        <f>+'BIểu 2'!C52</f>
        <v>Xã Diên Phú</v>
      </c>
      <c r="D29" s="61" t="str">
        <f>+'BIểu 2'!D52</f>
        <v xml:space="preserve">
 Bm=3m, chiều dài L= 940m;
hệ thống thoát nước </v>
      </c>
      <c r="E29" s="78">
        <f>+'BIểu 2'!E52</f>
        <v>472</v>
      </c>
      <c r="F29" s="62">
        <f t="shared" si="2"/>
        <v>165.31450000000001</v>
      </c>
      <c r="G29" s="78">
        <f>+'BIểu 2'!G52</f>
        <v>165.31450000000001</v>
      </c>
      <c r="H29" s="78">
        <f>+'BIểu 2'!H52</f>
        <v>0</v>
      </c>
      <c r="I29" s="33">
        <f>+'BIểu 2'!I52</f>
        <v>0</v>
      </c>
      <c r="J29" s="33">
        <f>+'BIểu 2'!J52</f>
        <v>259.4855</v>
      </c>
      <c r="K29" s="33">
        <f>+'BIểu 2'!K52</f>
        <v>47.2</v>
      </c>
      <c r="L29" s="75" t="s">
        <v>98</v>
      </c>
      <c r="M29" s="44"/>
      <c r="N29" s="44"/>
      <c r="O29" s="44"/>
      <c r="P29" s="44"/>
      <c r="Q29" s="44"/>
    </row>
    <row r="30" spans="1:18" s="32" customFormat="1" ht="60" outlineLevel="1" x14ac:dyDescent="0.25">
      <c r="A30" s="39">
        <f>+'BIểu 2'!A53</f>
        <v>2</v>
      </c>
      <c r="B30" s="27" t="str">
        <f>+'BIểu 2'!B58</f>
        <v>Sân bê tông Trường TH-THCS Nguyễn Chí Thanh, thôn 1</v>
      </c>
      <c r="C30" s="61" t="s">
        <v>42</v>
      </c>
      <c r="D30" s="61" t="s">
        <v>43</v>
      </c>
      <c r="E30" s="78">
        <v>313.637294</v>
      </c>
      <c r="F30" s="62">
        <f t="shared" si="2"/>
        <v>282.27356500000002</v>
      </c>
      <c r="G30" s="78">
        <v>282.27356500000002</v>
      </c>
      <c r="H30" s="78"/>
      <c r="I30" s="33"/>
      <c r="J30" s="33">
        <v>31.363728999999999</v>
      </c>
      <c r="K30" s="33"/>
      <c r="L30" s="75" t="s">
        <v>43</v>
      </c>
      <c r="M30" s="44"/>
      <c r="N30" s="44"/>
      <c r="O30" s="44"/>
      <c r="P30" s="44"/>
      <c r="Q30" s="44"/>
    </row>
    <row r="31" spans="1:18" s="32" customFormat="1" ht="75" outlineLevel="1" x14ac:dyDescent="0.25">
      <c r="A31" s="39">
        <f>+'BIểu 2'!A54</f>
        <v>3</v>
      </c>
      <c r="B31" s="27" t="str">
        <f>+'BIểu 2'!B59</f>
        <v>Nâng cấp sân bê tông trường Mầm non Hoa Cúc, thôn 1</v>
      </c>
      <c r="C31" s="61" t="str">
        <f>+'BIểu 2'!C59</f>
        <v>Xã Diên Phú</v>
      </c>
      <c r="D31" s="61" t="str">
        <f>+'BIểu 2'!D59</f>
        <v>Diện tích xây dựng 249.6m2. Sân làm mới gồm 03 lớp: Lớp 1: Gạch lát sân màu đỏ KT 500x500; Lớp 2: Vữa xi măng lót mác 75 dày 20; Lớp 3: Bê tông lót đá 40x60 VXM mác 50 dày 100</v>
      </c>
      <c r="E31" s="78">
        <f>+'BIểu 2'!E59</f>
        <v>124.095</v>
      </c>
      <c r="F31" s="53">
        <f t="shared" si="2"/>
        <v>111.6855</v>
      </c>
      <c r="G31" s="78">
        <f>+'BIểu 2'!G59</f>
        <v>111.6855</v>
      </c>
      <c r="H31" s="78">
        <f>+'BIểu 2'!H59</f>
        <v>0</v>
      </c>
      <c r="I31" s="33">
        <f>+'BIểu 2'!I59</f>
        <v>0</v>
      </c>
      <c r="J31" s="33">
        <f>+'BIểu 2'!J59</f>
        <v>12.4095</v>
      </c>
      <c r="K31" s="33">
        <f>+'BIểu 2'!K59</f>
        <v>0</v>
      </c>
      <c r="L31" s="75" t="s">
        <v>109</v>
      </c>
      <c r="M31" s="44"/>
      <c r="N31" s="44"/>
      <c r="O31" s="44"/>
      <c r="P31" s="44"/>
      <c r="Q31" s="44"/>
    </row>
    <row r="32" spans="1:18" s="32" customFormat="1" ht="155.25" customHeight="1" outlineLevel="1" x14ac:dyDescent="0.25">
      <c r="A32" s="39">
        <f>+'BIểu 2'!A55</f>
        <v>4</v>
      </c>
      <c r="B32" s="27" t="str">
        <f>+'BIểu 2'!B60</f>
        <v>Lắp đặt Mái che trường Tiểu học Nguyễn Đức Cảnh, thôn 2</v>
      </c>
      <c r="C32" s="61" t="str">
        <f>+'BIểu 2'!C60</f>
        <v>Xã Diên Phú</v>
      </c>
      <c r="D32" s="61" t="str">
        <f>+'BIểu 2'!D60</f>
        <v xml:space="preserve">Công trình cấp IV, diện tích xây dựng 235m2. Cos đỉnh mái +3.85m.Móng trụ BTCT đá 10x20 mác 200. Trụ đỡ mái bằng thép ống D114x3. Kèo mái bằng thép hộp. Giằng trụ bằng thép hộp. Xà gồ thép hộp 40x80x2 khoảng cách A=1000, mái lợp bằng tôn mạ màu dày 4,0 zem. Hoàn thiện sơn sắt thép các loại 03 nước. Hệ thống cấp điện + thoát nước mái thiết kế hoàn chỉnh
</v>
      </c>
      <c r="E32" s="78">
        <f>+'BIểu 2'!E60</f>
        <v>149.06700000000001</v>
      </c>
      <c r="F32" s="62">
        <f t="shared" si="2"/>
        <v>111.726435</v>
      </c>
      <c r="G32" s="78">
        <f>+'BIểu 2'!G60</f>
        <v>111.726435</v>
      </c>
      <c r="H32" s="78">
        <f>+'BIểu 2'!H60</f>
        <v>0</v>
      </c>
      <c r="I32" s="33">
        <f>+'BIểu 2'!I60</f>
        <v>0</v>
      </c>
      <c r="J32" s="33">
        <f>+'BIểu 2'!J60</f>
        <v>37.340564999999998</v>
      </c>
      <c r="K32" s="33">
        <f>+'BIểu 2'!K60</f>
        <v>0</v>
      </c>
      <c r="L32" s="61" t="s">
        <v>111</v>
      </c>
      <c r="M32" s="44"/>
      <c r="N32" s="44"/>
      <c r="O32" s="44"/>
      <c r="P32" s="44"/>
      <c r="Q32" s="44"/>
    </row>
    <row r="33" spans="1:17" s="32" customFormat="1" x14ac:dyDescent="0.25">
      <c r="A33" s="30" t="s">
        <v>44</v>
      </c>
      <c r="B33" s="89" t="s">
        <v>45</v>
      </c>
      <c r="C33" s="74"/>
      <c r="D33" s="74"/>
      <c r="E33" s="73">
        <f>+SUM(E34:E37)</f>
        <v>938</v>
      </c>
      <c r="F33" s="53">
        <f t="shared" si="2"/>
        <v>671</v>
      </c>
      <c r="G33" s="73">
        <f t="shared" ref="G33:K33" si="18">+SUM(G34:G37)</f>
        <v>671</v>
      </c>
      <c r="H33" s="73">
        <f t="shared" si="18"/>
        <v>0</v>
      </c>
      <c r="I33" s="74">
        <f t="shared" si="18"/>
        <v>0</v>
      </c>
      <c r="J33" s="74">
        <f t="shared" si="18"/>
        <v>173.2</v>
      </c>
      <c r="K33" s="74">
        <f t="shared" si="18"/>
        <v>93.8</v>
      </c>
      <c r="L33" s="75"/>
      <c r="M33" s="44"/>
      <c r="N33" s="44">
        <f>+H33/$E33*100</f>
        <v>0</v>
      </c>
      <c r="O33" s="44">
        <f>+I33/$E33*100</f>
        <v>0</v>
      </c>
      <c r="P33" s="44">
        <f>+J33/$E33*100</f>
        <v>18.464818763326225</v>
      </c>
      <c r="Q33" s="44">
        <f>+K33/$E33*100</f>
        <v>10</v>
      </c>
    </row>
    <row r="34" spans="1:17" s="45" customFormat="1" ht="75" outlineLevel="1" x14ac:dyDescent="0.25">
      <c r="A34" s="21">
        <f>+'BIểu 2'!A62</f>
        <v>1</v>
      </c>
      <c r="B34" s="84" t="str">
        <f>+'BIểu 2'!B62</f>
        <v>Mương thoát nước Thôn 5 (cạnh nhà ông Huỳnh Hoa Thám)</v>
      </c>
      <c r="C34" s="21" t="str">
        <f>+'BIểu 2'!C62</f>
        <v>Xã Trà Đa</v>
      </c>
      <c r="D34" s="21" t="str">
        <f>+'BIểu 2'!D62</f>
        <v xml:space="preserve">làm hệ thống cống thoát nước cống BTCT đá 10x20 mác 200; đường kính  D=2m L=30  đấu nối vợi hệ thống thoát nước đường Lý Thường Kiệt . Đỡ cống gối đá hộc vxm mác 100. </v>
      </c>
      <c r="E34" s="52">
        <f>+'BIểu 2'!E62</f>
        <v>300</v>
      </c>
      <c r="F34" s="53">
        <f t="shared" si="2"/>
        <v>240</v>
      </c>
      <c r="G34" s="52">
        <f>+'BIểu 2'!G62</f>
        <v>240</v>
      </c>
      <c r="H34" s="52">
        <f>+'BIểu 2'!H62</f>
        <v>0</v>
      </c>
      <c r="I34" s="22">
        <f>+'BIểu 2'!I62</f>
        <v>0</v>
      </c>
      <c r="J34" s="22">
        <f>+'BIểu 2'!J62</f>
        <v>30</v>
      </c>
      <c r="K34" s="22">
        <f>+'BIểu 2'!K62</f>
        <v>30</v>
      </c>
      <c r="L34" s="75" t="s">
        <v>114</v>
      </c>
    </row>
    <row r="35" spans="1:17" s="45" customFormat="1" ht="60" outlineLevel="1" x14ac:dyDescent="0.25">
      <c r="A35" s="21">
        <f>+'BIểu 2'!A63</f>
        <v>2</v>
      </c>
      <c r="B35" s="84" t="str">
        <f>+'BIểu 2'!B63</f>
        <v>Nhà để xe, bắt điện chiếu sáng Nhà văn hóa Thôn 3</v>
      </c>
      <c r="C35" s="21" t="str">
        <f>+'BIểu 2'!C63</f>
        <v>Xã Trà Đa</v>
      </c>
      <c r="D35" s="21" t="str">
        <f>+'BIểu 2'!D63</f>
        <v xml:space="preserve">Diện tích nhà để xe khoảng 90 m2 ( Móng BTCT; trụ Sắt D90; xà gồ sắt; mái lợp tôn 4 zem  + 6 bóng điện chiếu sáng NLMT 300W </v>
      </c>
      <c r="E35" s="52">
        <f>+'BIểu 2'!E63</f>
        <v>111</v>
      </c>
      <c r="F35" s="53">
        <f t="shared" si="2"/>
        <v>88.8</v>
      </c>
      <c r="G35" s="52">
        <f>+'BIểu 2'!G63</f>
        <v>88.8</v>
      </c>
      <c r="H35" s="52">
        <f>+'BIểu 2'!H63</f>
        <v>0</v>
      </c>
      <c r="I35" s="22">
        <f>+'BIểu 2'!I63</f>
        <v>0</v>
      </c>
      <c r="J35" s="22">
        <f>+'BIểu 2'!J63</f>
        <v>11.1</v>
      </c>
      <c r="K35" s="22">
        <f>+'BIểu 2'!K63</f>
        <v>11.1</v>
      </c>
      <c r="L35" s="75" t="s">
        <v>116</v>
      </c>
    </row>
    <row r="36" spans="1:17" s="45" customFormat="1" ht="45" outlineLevel="1" x14ac:dyDescent="0.25">
      <c r="A36" s="21">
        <f>+'BIểu 2'!A64</f>
        <v>3</v>
      </c>
      <c r="B36" s="84" t="str">
        <f>+'BIểu 2'!B64</f>
        <v xml:space="preserve">Mương thoát nước Thôn 5 (cạnh nhà ông Tình) </v>
      </c>
      <c r="C36" s="21" t="str">
        <f>+'BIểu 2'!C64</f>
        <v>Xã Trà Đa</v>
      </c>
      <c r="D36" s="21" t="str">
        <f>+'BIểu 2'!D64</f>
        <v xml:space="preserve">Xây mương đá hộc mác 100 Kích thước mương như sau : rộng 1,2 m; sau 0,9 m; nắp đan BTCT mác 200 dày 100 mm  L= 70 m </v>
      </c>
      <c r="E36" s="52">
        <f>+'BIểu 2'!E64</f>
        <v>210</v>
      </c>
      <c r="F36" s="53">
        <f t="shared" si="2"/>
        <v>168</v>
      </c>
      <c r="G36" s="52">
        <f>+'BIểu 2'!G64</f>
        <v>168</v>
      </c>
      <c r="H36" s="52">
        <f>+'BIểu 2'!H64</f>
        <v>0</v>
      </c>
      <c r="I36" s="22">
        <f>+'BIểu 2'!I64</f>
        <v>0</v>
      </c>
      <c r="J36" s="22">
        <f>+'BIểu 2'!J64</f>
        <v>21</v>
      </c>
      <c r="K36" s="22">
        <f>+'BIểu 2'!K64</f>
        <v>21</v>
      </c>
      <c r="L36" s="75" t="s">
        <v>118</v>
      </c>
    </row>
    <row r="37" spans="1:17" s="45" customFormat="1" ht="45" outlineLevel="1" x14ac:dyDescent="0.25">
      <c r="A37" s="21">
        <f>+'BIểu 2'!A65</f>
        <v>4</v>
      </c>
      <c r="B37" s="84" t="str">
        <f>+'BIểu 2'!B65</f>
        <v>Đường GTNT thôn 4 (từ tổ 2 sang tổ 3)</v>
      </c>
      <c r="C37" s="21" t="str">
        <f>+'BIểu 2'!C65</f>
        <v>Xã Trà Đa</v>
      </c>
      <c r="D37" s="21" t="str">
        <f>+'BIểu 2'!D65</f>
        <v xml:space="preserve">BTXM đá 2x4 mác 200, dày 16 cm, Bn=4,5 m, Bm=3,5m, L = 270 m ;  và hệ thống thoát nước dọc. Và cống qua đường . </v>
      </c>
      <c r="E37" s="52">
        <f>+'BIểu 2'!E65</f>
        <v>317</v>
      </c>
      <c r="F37" s="62">
        <f t="shared" si="2"/>
        <v>174.2</v>
      </c>
      <c r="G37" s="52">
        <f>+'BIểu 2'!G65</f>
        <v>174.2</v>
      </c>
      <c r="H37" s="52">
        <f>+'BIểu 2'!H65</f>
        <v>0</v>
      </c>
      <c r="I37" s="22">
        <f>+'BIểu 2'!I65</f>
        <v>0</v>
      </c>
      <c r="J37" s="22">
        <f>+'BIểu 2'!J65</f>
        <v>111.1</v>
      </c>
      <c r="K37" s="22">
        <f>+'BIểu 2'!K65</f>
        <v>31.7</v>
      </c>
      <c r="L37" s="75" t="s">
        <v>120</v>
      </c>
    </row>
    <row r="38" spans="1:17" s="32" customFormat="1" x14ac:dyDescent="0.25">
      <c r="A38" s="30" t="s">
        <v>46</v>
      </c>
      <c r="B38" s="89" t="s">
        <v>47</v>
      </c>
      <c r="C38" s="74"/>
      <c r="D38" s="74"/>
      <c r="E38" s="73">
        <f>+E39</f>
        <v>838.75</v>
      </c>
      <c r="F38" s="53">
        <f t="shared" si="2"/>
        <v>671</v>
      </c>
      <c r="G38" s="73">
        <f t="shared" ref="G38:K38" si="19">+G39</f>
        <v>671</v>
      </c>
      <c r="H38" s="73">
        <f t="shared" si="19"/>
        <v>0</v>
      </c>
      <c r="I38" s="74">
        <f t="shared" si="19"/>
        <v>0</v>
      </c>
      <c r="J38" s="74">
        <f t="shared" si="19"/>
        <v>83.875</v>
      </c>
      <c r="K38" s="74">
        <f t="shared" si="19"/>
        <v>83.875</v>
      </c>
      <c r="L38" s="75"/>
      <c r="M38" s="44"/>
      <c r="N38" s="44">
        <f t="shared" ref="N38:Q39" si="20">+H38/$E38*100</f>
        <v>0</v>
      </c>
      <c r="O38" s="44">
        <f t="shared" si="20"/>
        <v>0</v>
      </c>
      <c r="P38" s="44">
        <f t="shared" si="20"/>
        <v>10</v>
      </c>
      <c r="Q38" s="44">
        <f t="shared" si="20"/>
        <v>10</v>
      </c>
    </row>
    <row r="39" spans="1:17" s="45" customFormat="1" ht="45" outlineLevel="1" x14ac:dyDescent="0.25">
      <c r="A39" s="21">
        <f>+'BIểu 2'!A77</f>
        <v>1</v>
      </c>
      <c r="B39" s="84" t="str">
        <f>+'BIểu 2'!B77</f>
        <v xml:space="preserve">Đường GTNT làng Chuet Ngol (từ đầu đường Trương ĐỊnh đến hết đường) </v>
      </c>
      <c r="C39" s="21" t="str">
        <f>+'BIểu 2'!C77</f>
        <v>Xã Chư Ă</v>
      </c>
      <c r="D39" s="21" t="str">
        <f>+'BIểu 2'!D77</f>
        <v>Chiều dài 890m. Nền mặt đường và hệ thống thoát nước</v>
      </c>
      <c r="E39" s="52">
        <f>+'BIểu 2'!E77</f>
        <v>838.75</v>
      </c>
      <c r="F39" s="62">
        <f t="shared" si="2"/>
        <v>671</v>
      </c>
      <c r="G39" s="52">
        <f>+'BIểu 2'!G77</f>
        <v>671</v>
      </c>
      <c r="H39" s="52">
        <f>+'BIểu 2'!H77</f>
        <v>0</v>
      </c>
      <c r="I39" s="22">
        <f>+'BIểu 2'!I77</f>
        <v>0</v>
      </c>
      <c r="J39" s="22">
        <f>+'BIểu 2'!J77</f>
        <v>83.875</v>
      </c>
      <c r="K39" s="22">
        <f>+'BIểu 2'!K77</f>
        <v>83.875</v>
      </c>
      <c r="L39" s="61" t="s">
        <v>140</v>
      </c>
      <c r="M39" s="44">
        <f t="shared" ref="M39" si="21">+G39/$E39*100</f>
        <v>80</v>
      </c>
      <c r="N39" s="44">
        <f t="shared" si="20"/>
        <v>0</v>
      </c>
      <c r="O39" s="44">
        <f t="shared" si="20"/>
        <v>0</v>
      </c>
      <c r="P39" s="44">
        <f t="shared" si="20"/>
        <v>10</v>
      </c>
      <c r="Q39" s="44">
        <f t="shared" si="20"/>
        <v>10</v>
      </c>
    </row>
  </sheetData>
  <mergeCells count="14">
    <mergeCell ref="B6:D6"/>
    <mergeCell ref="B7:D7"/>
    <mergeCell ref="B8:D8"/>
    <mergeCell ref="B12:D12"/>
    <mergeCell ref="B16:D16"/>
    <mergeCell ref="A2:L2"/>
    <mergeCell ref="I3:J3"/>
    <mergeCell ref="A4:A5"/>
    <mergeCell ref="B4:B5"/>
    <mergeCell ref="C4:C5"/>
    <mergeCell ref="D4:D5"/>
    <mergeCell ref="E4:E5"/>
    <mergeCell ref="F4:K4"/>
    <mergeCell ref="L4:L5"/>
  </mergeCells>
  <pageMargins left="0.70866141732283472" right="0.31496062992125984" top="0.43307086614173229" bottom="0.45" header="0.31496062992125984" footer="0.31496062992125984"/>
  <pageSetup paperSize="9" scale="8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82"/>
  <sheetViews>
    <sheetView zoomScale="85" zoomScaleNormal="85" workbookViewId="0">
      <pane xSplit="4" ySplit="6" topLeftCell="E40" activePane="bottomRight" state="frozen"/>
      <selection pane="topRight" activeCell="E1" sqref="E1"/>
      <selection pane="bottomLeft" activeCell="A6" sqref="A6"/>
      <selection pane="bottomRight" activeCell="G3" sqref="G3:L3"/>
    </sheetView>
  </sheetViews>
  <sheetFormatPr defaultRowHeight="15" outlineLevelRow="1" x14ac:dyDescent="0.25"/>
  <cols>
    <col min="1" max="1" width="7.28515625" style="23" customWidth="1"/>
    <col min="2" max="2" width="32.85546875" style="90" customWidth="1"/>
    <col min="3" max="3" width="7.7109375" style="1" hidden="1" customWidth="1"/>
    <col min="4" max="4" width="55.140625" style="1" hidden="1" customWidth="1"/>
    <col min="5" max="5" width="14.7109375" style="104" customWidth="1"/>
    <col min="6" max="6" width="14.7109375" style="24" customWidth="1"/>
    <col min="7" max="7" width="13.42578125" style="24" customWidth="1"/>
    <col min="8" max="8" width="9.7109375" style="24" customWidth="1"/>
    <col min="9" max="9" width="7.5703125" style="24" hidden="1" customWidth="1"/>
    <col min="10" max="10" width="8.85546875" style="24" hidden="1" customWidth="1"/>
    <col min="11" max="11" width="9" style="24" hidden="1" customWidth="1"/>
    <col min="12" max="12" width="59.85546875" style="1" hidden="1" customWidth="1"/>
    <col min="13" max="13" width="8.5703125" style="1" hidden="1" customWidth="1"/>
    <col min="14" max="19" width="0" style="1" hidden="1" customWidth="1"/>
    <col min="20" max="20" width="20.140625" style="1" hidden="1" customWidth="1"/>
    <col min="21" max="21" width="9.5703125" style="1" hidden="1" customWidth="1"/>
    <col min="22" max="22" width="10.42578125" style="1" hidden="1" customWidth="1"/>
    <col min="23" max="23" width="10.5703125" style="1" hidden="1" customWidth="1"/>
    <col min="24" max="24" width="9.7109375" style="1" hidden="1" customWidth="1"/>
    <col min="25" max="28" width="0" style="1" hidden="1" customWidth="1"/>
    <col min="29" max="16384" width="9.140625" style="1"/>
  </cols>
  <sheetData>
    <row r="2" spans="1:34" s="14" customFormat="1" ht="48" customHeight="1" x14ac:dyDescent="0.25">
      <c r="A2" s="177" t="s">
        <v>163</v>
      </c>
      <c r="B2" s="177"/>
      <c r="C2" s="177"/>
      <c r="D2" s="177"/>
      <c r="E2" s="177"/>
      <c r="F2" s="177"/>
      <c r="G2" s="177"/>
      <c r="H2" s="177"/>
      <c r="I2" s="177"/>
      <c r="J2" s="177"/>
      <c r="K2" s="177"/>
      <c r="L2" s="177"/>
    </row>
    <row r="3" spans="1:34" x14ac:dyDescent="0.25">
      <c r="G3" s="176" t="s">
        <v>1</v>
      </c>
      <c r="H3" s="176"/>
      <c r="I3" s="176"/>
      <c r="J3" s="176"/>
      <c r="K3" s="176"/>
      <c r="L3" s="176"/>
    </row>
    <row r="4" spans="1:34" x14ac:dyDescent="0.25">
      <c r="G4" s="97"/>
      <c r="H4" s="97"/>
      <c r="I4" s="97"/>
      <c r="J4" s="97"/>
      <c r="K4" s="97"/>
      <c r="L4" s="97"/>
    </row>
    <row r="5" spans="1:34" ht="29.25" customHeight="1" x14ac:dyDescent="0.25">
      <c r="A5" s="178" t="s">
        <v>2</v>
      </c>
      <c r="B5" s="178" t="s">
        <v>161</v>
      </c>
      <c r="C5" s="178" t="s">
        <v>4</v>
      </c>
      <c r="D5" s="178" t="s">
        <v>5</v>
      </c>
      <c r="E5" s="178" t="s">
        <v>6</v>
      </c>
      <c r="F5" s="174" t="s">
        <v>165</v>
      </c>
      <c r="G5" s="175"/>
      <c r="H5" s="175"/>
      <c r="I5" s="175"/>
      <c r="J5" s="175"/>
      <c r="K5" s="179"/>
      <c r="L5" s="178" t="s">
        <v>8</v>
      </c>
      <c r="AC5" s="174" t="s">
        <v>18</v>
      </c>
      <c r="AD5" s="175"/>
      <c r="AE5" s="175"/>
      <c r="AF5" s="174" t="s">
        <v>33</v>
      </c>
      <c r="AG5" s="175"/>
      <c r="AH5" s="175"/>
    </row>
    <row r="6" spans="1:34" ht="85.5" x14ac:dyDescent="0.25">
      <c r="A6" s="178"/>
      <c r="B6" s="178"/>
      <c r="C6" s="178"/>
      <c r="D6" s="178"/>
      <c r="E6" s="178"/>
      <c r="F6" s="82" t="s">
        <v>9</v>
      </c>
      <c r="G6" s="82" t="s">
        <v>10</v>
      </c>
      <c r="H6" s="82" t="s">
        <v>11</v>
      </c>
      <c r="I6" s="82" t="s">
        <v>12</v>
      </c>
      <c r="J6" s="82" t="s">
        <v>13</v>
      </c>
      <c r="K6" s="82" t="s">
        <v>14</v>
      </c>
      <c r="L6" s="178"/>
      <c r="AC6" s="98" t="s">
        <v>9</v>
      </c>
      <c r="AD6" s="98" t="s">
        <v>10</v>
      </c>
      <c r="AE6" s="98" t="s">
        <v>11</v>
      </c>
      <c r="AF6" s="98" t="s">
        <v>9</v>
      </c>
      <c r="AG6" s="98" t="s">
        <v>10</v>
      </c>
      <c r="AH6" s="98" t="s">
        <v>11</v>
      </c>
    </row>
    <row r="7" spans="1:34" ht="42" hidden="1" customHeight="1" x14ac:dyDescent="0.25">
      <c r="A7" s="82"/>
      <c r="B7" s="171" t="s">
        <v>49</v>
      </c>
      <c r="C7" s="172"/>
      <c r="D7" s="173"/>
      <c r="E7" s="82">
        <f t="shared" ref="E7:K7" si="0">+E8+E23</f>
        <v>28787.838960666668</v>
      </c>
      <c r="F7" s="82">
        <f>+G7+H7</f>
        <v>24388</v>
      </c>
      <c r="G7" s="82">
        <f t="shared" si="0"/>
        <v>22985</v>
      </c>
      <c r="H7" s="82">
        <f t="shared" si="0"/>
        <v>1403</v>
      </c>
      <c r="I7" s="82">
        <f t="shared" si="0"/>
        <v>0</v>
      </c>
      <c r="J7" s="82">
        <f t="shared" si="0"/>
        <v>4490.1445939999994</v>
      </c>
      <c r="K7" s="82">
        <f t="shared" si="0"/>
        <v>2466.149477777778</v>
      </c>
      <c r="L7" s="3" t="s">
        <v>16</v>
      </c>
      <c r="V7" s="25">
        <f>+G7-'[2]21-25'!D6</f>
        <v>1899</v>
      </c>
      <c r="W7" s="4">
        <f>+H7-'[2]21-25'!G6</f>
        <v>650</v>
      </c>
    </row>
    <row r="8" spans="1:34" ht="48" hidden="1" customHeight="1" x14ac:dyDescent="0.25">
      <c r="A8" s="82" t="s">
        <v>17</v>
      </c>
      <c r="B8" s="171" t="s">
        <v>18</v>
      </c>
      <c r="C8" s="172"/>
      <c r="D8" s="173"/>
      <c r="E8" s="82">
        <f>+E9+E16</f>
        <v>3543</v>
      </c>
      <c r="F8" s="82">
        <f t="shared" ref="F8:F23" si="1">+G8+H8</f>
        <v>3543</v>
      </c>
      <c r="G8" s="82">
        <f t="shared" ref="G8" si="2">+G9+G16</f>
        <v>2790</v>
      </c>
      <c r="H8" s="82">
        <f>+H9+H16</f>
        <v>753</v>
      </c>
      <c r="I8" s="82">
        <f>+I9+I16</f>
        <v>0</v>
      </c>
      <c r="J8" s="82">
        <f t="shared" ref="J8:K8" si="3">+J9+J16</f>
        <v>0</v>
      </c>
      <c r="K8" s="82">
        <f t="shared" si="3"/>
        <v>0</v>
      </c>
      <c r="L8" s="5"/>
    </row>
    <row r="9" spans="1:34" s="6" customFormat="1" ht="49.5" hidden="1" customHeight="1" x14ac:dyDescent="0.25">
      <c r="A9" s="82" t="s">
        <v>19</v>
      </c>
      <c r="B9" s="171" t="s">
        <v>20</v>
      </c>
      <c r="C9" s="172"/>
      <c r="D9" s="173"/>
      <c r="E9" s="82">
        <f>+SUM(E10:E15)</f>
        <v>2103</v>
      </c>
      <c r="F9" s="82">
        <f t="shared" si="1"/>
        <v>2103</v>
      </c>
      <c r="G9" s="105">
        <f>+SUM(G10:G15)</f>
        <v>1805</v>
      </c>
      <c r="H9" s="82">
        <f>+SUM(H10:H15)</f>
        <v>298</v>
      </c>
      <c r="I9" s="82"/>
      <c r="J9" s="82"/>
      <c r="K9" s="82"/>
      <c r="L9" s="82" t="s">
        <v>160</v>
      </c>
      <c r="U9" s="7">
        <f>SUM(H10:H15)-H9</f>
        <v>0</v>
      </c>
      <c r="V9" s="7"/>
      <c r="Y9" s="7">
        <f>H9-X9</f>
        <v>298</v>
      </c>
    </row>
    <row r="10" spans="1:34" ht="21" hidden="1" customHeight="1" x14ac:dyDescent="0.25">
      <c r="A10" s="8">
        <v>1</v>
      </c>
      <c r="B10" s="91" t="s">
        <v>22</v>
      </c>
      <c r="C10" s="8"/>
      <c r="D10" s="8" t="s">
        <v>146</v>
      </c>
      <c r="E10" s="82">
        <f t="shared" ref="E10:E14" si="4">+SUM(G10:K10)</f>
        <v>734.5</v>
      </c>
      <c r="F10" s="8">
        <f t="shared" si="1"/>
        <v>734.5</v>
      </c>
      <c r="G10" s="8">
        <f>'Mẫu 2022'!G9+'Mẫu 2022'!G10+5*40+(3*40)+2</f>
        <v>638.5</v>
      </c>
      <c r="H10" s="8">
        <f>16+80</f>
        <v>96</v>
      </c>
      <c r="I10" s="8"/>
      <c r="J10" s="8"/>
      <c r="K10" s="8"/>
      <c r="L10" s="8" t="s">
        <v>146</v>
      </c>
      <c r="U10" s="25">
        <f>SUM(H10:H15)-H9</f>
        <v>0</v>
      </c>
      <c r="V10" s="26"/>
    </row>
    <row r="11" spans="1:34" s="45" customFormat="1" ht="21" hidden="1" customHeight="1" x14ac:dyDescent="0.25">
      <c r="A11" s="42">
        <v>2</v>
      </c>
      <c r="B11" s="27" t="s">
        <v>24</v>
      </c>
      <c r="C11" s="42"/>
      <c r="D11" s="42" t="s">
        <v>145</v>
      </c>
      <c r="E11" s="81">
        <f t="shared" si="4"/>
        <v>448.5</v>
      </c>
      <c r="F11" s="42">
        <f>G11+H11</f>
        <v>448.5</v>
      </c>
      <c r="G11" s="42">
        <v>246.5</v>
      </c>
      <c r="H11" s="42">
        <v>202</v>
      </c>
      <c r="I11" s="42"/>
      <c r="J11" s="42"/>
      <c r="K11" s="42"/>
      <c r="L11" s="42" t="s">
        <v>145</v>
      </c>
      <c r="V11" s="63"/>
      <c r="W11" s="64"/>
      <c r="X11" s="64"/>
    </row>
    <row r="12" spans="1:34" ht="21" hidden="1" customHeight="1" x14ac:dyDescent="0.25">
      <c r="A12" s="8">
        <v>3</v>
      </c>
      <c r="B12" s="91" t="s">
        <v>28</v>
      </c>
      <c r="C12" s="8"/>
      <c r="D12" s="42" t="s">
        <v>50</v>
      </c>
      <c r="E12" s="82">
        <f>+SUM(G12:K12)</f>
        <v>40</v>
      </c>
      <c r="F12" s="8">
        <f t="shared" si="1"/>
        <v>40</v>
      </c>
      <c r="G12" s="8">
        <f>1*40</f>
        <v>40</v>
      </c>
      <c r="H12" s="8"/>
      <c r="I12" s="8"/>
      <c r="J12" s="8"/>
      <c r="K12" s="8"/>
      <c r="L12" s="42" t="s">
        <v>50</v>
      </c>
      <c r="V12" s="26">
        <f>SUM(H12:H15)</f>
        <v>0</v>
      </c>
      <c r="W12" s="1">
        <f>25*22.5</f>
        <v>562.5</v>
      </c>
      <c r="X12" s="1">
        <f>W12-403</f>
        <v>159.5</v>
      </c>
    </row>
    <row r="13" spans="1:34" ht="21" hidden="1" customHeight="1" x14ac:dyDescent="0.25">
      <c r="A13" s="8">
        <v>4</v>
      </c>
      <c r="B13" s="91" t="s">
        <v>47</v>
      </c>
      <c r="C13" s="8"/>
      <c r="D13" s="42" t="s">
        <v>51</v>
      </c>
      <c r="E13" s="82">
        <f t="shared" si="4"/>
        <v>320</v>
      </c>
      <c r="F13" s="8">
        <f t="shared" si="1"/>
        <v>320</v>
      </c>
      <c r="G13" s="8">
        <f>8*40</f>
        <v>320</v>
      </c>
      <c r="H13" s="8"/>
      <c r="I13" s="8"/>
      <c r="J13" s="8"/>
      <c r="K13" s="8"/>
      <c r="L13" s="42" t="s">
        <v>51</v>
      </c>
      <c r="V13" s="26"/>
    </row>
    <row r="14" spans="1:34" ht="21" hidden="1" customHeight="1" x14ac:dyDescent="0.25">
      <c r="A14" s="8">
        <v>5</v>
      </c>
      <c r="B14" s="91" t="s">
        <v>38</v>
      </c>
      <c r="C14" s="8"/>
      <c r="D14" s="42" t="s">
        <v>52</v>
      </c>
      <c r="E14" s="82">
        <f t="shared" si="4"/>
        <v>280</v>
      </c>
      <c r="F14" s="8">
        <f t="shared" si="1"/>
        <v>280</v>
      </c>
      <c r="G14" s="8">
        <f>7*40</f>
        <v>280</v>
      </c>
      <c r="H14" s="8"/>
      <c r="I14" s="8"/>
      <c r="J14" s="8"/>
      <c r="K14" s="8"/>
      <c r="L14" s="42" t="s">
        <v>52</v>
      </c>
      <c r="V14" s="26"/>
    </row>
    <row r="15" spans="1:34" ht="21" hidden="1" customHeight="1" x14ac:dyDescent="0.25">
      <c r="A15" s="8">
        <v>6</v>
      </c>
      <c r="B15" s="91" t="s">
        <v>53</v>
      </c>
      <c r="C15" s="8"/>
      <c r="D15" s="42" t="s">
        <v>52</v>
      </c>
      <c r="E15" s="82">
        <f t="shared" ref="E15" si="5">+SUM(G15:K15)</f>
        <v>280</v>
      </c>
      <c r="F15" s="8">
        <f t="shared" si="1"/>
        <v>280</v>
      </c>
      <c r="G15" s="8">
        <f>7*40</f>
        <v>280</v>
      </c>
      <c r="H15" s="8"/>
      <c r="I15" s="8"/>
      <c r="J15" s="8"/>
      <c r="K15" s="8"/>
      <c r="L15" s="42" t="s">
        <v>52</v>
      </c>
      <c r="V15" s="26"/>
    </row>
    <row r="16" spans="1:34" s="6" customFormat="1" ht="60.75" hidden="1" customHeight="1" x14ac:dyDescent="0.25">
      <c r="A16" s="82" t="s">
        <v>25</v>
      </c>
      <c r="B16" s="171" t="s">
        <v>26</v>
      </c>
      <c r="C16" s="172"/>
      <c r="D16" s="173"/>
      <c r="E16" s="82">
        <f>+SUM(E17:E22)</f>
        <v>1440</v>
      </c>
      <c r="F16" s="82">
        <f t="shared" si="1"/>
        <v>1440</v>
      </c>
      <c r="G16" s="82">
        <f>+SUM(G17:G22)</f>
        <v>985</v>
      </c>
      <c r="H16" s="82">
        <f>+SUM(H17:H22)</f>
        <v>455</v>
      </c>
      <c r="I16" s="82"/>
      <c r="J16" s="82"/>
      <c r="K16" s="82"/>
      <c r="L16" s="82" t="s">
        <v>27</v>
      </c>
    </row>
    <row r="17" spans="1:34" ht="23.25" hidden="1" customHeight="1" x14ac:dyDescent="0.25">
      <c r="A17" s="8">
        <v>1</v>
      </c>
      <c r="B17" s="91" t="s">
        <v>28</v>
      </c>
      <c r="C17" s="8"/>
      <c r="D17" s="8" t="s">
        <v>29</v>
      </c>
      <c r="E17" s="82">
        <f t="shared" ref="E17:E22" si="6">+SUM(G17:K17)</f>
        <v>20</v>
      </c>
      <c r="F17" s="8">
        <f t="shared" si="1"/>
        <v>20</v>
      </c>
      <c r="G17" s="8"/>
      <c r="H17" s="8">
        <v>20</v>
      </c>
      <c r="I17" s="8"/>
      <c r="J17" s="8"/>
      <c r="K17" s="8"/>
      <c r="L17" s="8" t="s">
        <v>29</v>
      </c>
    </row>
    <row r="18" spans="1:34" ht="23.25" hidden="1" customHeight="1" x14ac:dyDescent="0.25">
      <c r="A18" s="8">
        <v>2</v>
      </c>
      <c r="B18" s="91" t="s">
        <v>22</v>
      </c>
      <c r="C18" s="8"/>
      <c r="D18" s="8" t="s">
        <v>29</v>
      </c>
      <c r="E18" s="82">
        <f t="shared" si="6"/>
        <v>20</v>
      </c>
      <c r="F18" s="8">
        <f t="shared" si="1"/>
        <v>20</v>
      </c>
      <c r="G18" s="8"/>
      <c r="H18" s="8">
        <v>20</v>
      </c>
      <c r="I18" s="8"/>
      <c r="J18" s="8"/>
      <c r="K18" s="8"/>
      <c r="L18" s="8" t="s">
        <v>29</v>
      </c>
    </row>
    <row r="19" spans="1:34" ht="23.25" hidden="1" customHeight="1" x14ac:dyDescent="0.25">
      <c r="A19" s="8">
        <v>3</v>
      </c>
      <c r="B19" s="91" t="s">
        <v>30</v>
      </c>
      <c r="C19" s="8"/>
      <c r="D19" s="8" t="s">
        <v>54</v>
      </c>
      <c r="E19" s="82">
        <f t="shared" si="6"/>
        <v>548</v>
      </c>
      <c r="F19" s="8">
        <f t="shared" si="1"/>
        <v>548</v>
      </c>
      <c r="G19" s="8">
        <f>374</f>
        <v>374</v>
      </c>
      <c r="H19" s="8">
        <f>105+69</f>
        <v>174</v>
      </c>
      <c r="I19" s="8"/>
      <c r="J19" s="8"/>
      <c r="K19" s="8"/>
      <c r="L19" s="8" t="s">
        <v>54</v>
      </c>
    </row>
    <row r="20" spans="1:34" ht="23.25" hidden="1" customHeight="1" x14ac:dyDescent="0.25">
      <c r="A20" s="8">
        <v>4</v>
      </c>
      <c r="B20" s="91" t="s">
        <v>53</v>
      </c>
      <c r="C20" s="8"/>
      <c r="D20" s="8" t="s">
        <v>55</v>
      </c>
      <c r="E20" s="82">
        <f t="shared" si="6"/>
        <v>714</v>
      </c>
      <c r="F20" s="8">
        <f t="shared" si="1"/>
        <v>714</v>
      </c>
      <c r="G20" s="8">
        <v>611</v>
      </c>
      <c r="H20" s="8">
        <v>103</v>
      </c>
      <c r="I20" s="8"/>
      <c r="J20" s="8"/>
      <c r="K20" s="8"/>
      <c r="L20" s="8" t="s">
        <v>55</v>
      </c>
    </row>
    <row r="21" spans="1:34" ht="23.25" hidden="1" customHeight="1" x14ac:dyDescent="0.25">
      <c r="A21" s="8">
        <v>5</v>
      </c>
      <c r="B21" s="91" t="s">
        <v>47</v>
      </c>
      <c r="C21" s="8"/>
      <c r="D21" s="8" t="s">
        <v>56</v>
      </c>
      <c r="E21" s="82">
        <f t="shared" si="6"/>
        <v>69</v>
      </c>
      <c r="F21" s="8">
        <f t="shared" si="1"/>
        <v>69</v>
      </c>
      <c r="G21" s="8"/>
      <c r="H21" s="8">
        <v>69</v>
      </c>
      <c r="I21" s="8"/>
      <c r="J21" s="8"/>
      <c r="K21" s="8"/>
      <c r="L21" s="8" t="s">
        <v>56</v>
      </c>
    </row>
    <row r="22" spans="1:34" ht="23.25" hidden="1" customHeight="1" x14ac:dyDescent="0.25">
      <c r="A22" s="8">
        <v>6</v>
      </c>
      <c r="B22" s="91" t="s">
        <v>38</v>
      </c>
      <c r="C22" s="8"/>
      <c r="D22" s="8" t="s">
        <v>56</v>
      </c>
      <c r="E22" s="82">
        <f t="shared" si="6"/>
        <v>69</v>
      </c>
      <c r="F22" s="8">
        <f t="shared" si="1"/>
        <v>69</v>
      </c>
      <c r="G22" s="8"/>
      <c r="H22" s="8">
        <v>69</v>
      </c>
      <c r="I22" s="8"/>
      <c r="J22" s="8"/>
      <c r="K22" s="8"/>
      <c r="L22" s="8" t="s">
        <v>56</v>
      </c>
    </row>
    <row r="23" spans="1:34" ht="35.25" customHeight="1" x14ac:dyDescent="0.25">
      <c r="A23" s="82" t="s">
        <v>32</v>
      </c>
      <c r="B23" s="171" t="s">
        <v>33</v>
      </c>
      <c r="C23" s="172"/>
      <c r="D23" s="173"/>
      <c r="E23" s="82">
        <f t="shared" ref="E23:K23" si="7">+E24+E29+E35+E40+E47+E52+E62+E77</f>
        <v>25244.838960666668</v>
      </c>
      <c r="F23" s="82">
        <f t="shared" si="1"/>
        <v>20845</v>
      </c>
      <c r="G23" s="82">
        <f t="shared" si="7"/>
        <v>20195</v>
      </c>
      <c r="H23" s="82">
        <f t="shared" si="7"/>
        <v>650</v>
      </c>
      <c r="I23" s="82">
        <f t="shared" si="7"/>
        <v>0</v>
      </c>
      <c r="J23" s="82">
        <f t="shared" si="7"/>
        <v>4490.1445939999994</v>
      </c>
      <c r="K23" s="82">
        <f t="shared" si="7"/>
        <v>2466.149477777778</v>
      </c>
      <c r="L23" s="82" t="s">
        <v>34</v>
      </c>
      <c r="M23" s="7">
        <f t="shared" ref="M23:M34" si="8">+N23+O23+P23+Q23+R23</f>
        <v>110.12664455928697</v>
      </c>
      <c r="N23" s="10">
        <f t="shared" ref="N23:R38" si="9">+G23/$E23*100</f>
        <v>79.996549122239628</v>
      </c>
      <c r="O23" s="10">
        <f t="shared" si="9"/>
        <v>2.5747837053456681</v>
      </c>
      <c r="P23" s="10">
        <f t="shared" si="9"/>
        <v>0</v>
      </c>
      <c r="Q23" s="10">
        <f t="shared" si="9"/>
        <v>17.786386361964826</v>
      </c>
      <c r="R23" s="10">
        <f t="shared" si="9"/>
        <v>9.7689253697368468</v>
      </c>
    </row>
    <row r="24" spans="1:34" ht="23.25" customHeight="1" x14ac:dyDescent="0.25">
      <c r="A24" s="20" t="s">
        <v>19</v>
      </c>
      <c r="B24" s="102" t="s">
        <v>30</v>
      </c>
      <c r="C24" s="41"/>
      <c r="D24" s="41"/>
      <c r="E24" s="41">
        <f>+SUM(E25:E28)</f>
        <v>2795.2222222222217</v>
      </c>
      <c r="F24" s="8">
        <f>+AC24+AF24</f>
        <v>3283.5</v>
      </c>
      <c r="G24" s="41">
        <f>+AD24+AG24</f>
        <v>2907.5</v>
      </c>
      <c r="H24" s="41">
        <f>+AE24+AI24</f>
        <v>376</v>
      </c>
      <c r="I24" s="41">
        <f t="shared" ref="I24:K24" si="10">+SUM(I25:I28)</f>
        <v>0</v>
      </c>
      <c r="J24" s="41">
        <f t="shared" si="10"/>
        <v>228.7</v>
      </c>
      <c r="K24" s="41">
        <f t="shared" si="10"/>
        <v>279.52222222222224</v>
      </c>
      <c r="L24" s="5"/>
      <c r="M24" s="4">
        <f t="shared" si="8"/>
        <v>135.65011726358475</v>
      </c>
      <c r="N24" s="10">
        <f t="shared" si="9"/>
        <v>104.01677465516559</v>
      </c>
      <c r="O24" s="10">
        <f t="shared" si="9"/>
        <v>13.451524426600949</v>
      </c>
      <c r="P24" s="10">
        <f t="shared" si="9"/>
        <v>0</v>
      </c>
      <c r="Q24" s="10">
        <f t="shared" si="9"/>
        <v>8.1818181818181834</v>
      </c>
      <c r="R24" s="10">
        <f t="shared" si="9"/>
        <v>10.000000000000002</v>
      </c>
      <c r="AC24" s="1">
        <f>+AD24+AE24</f>
        <v>996.5</v>
      </c>
      <c r="AD24" s="1">
        <f>374+246.5</f>
        <v>620.5</v>
      </c>
      <c r="AE24" s="1">
        <f>174+202</f>
        <v>376</v>
      </c>
      <c r="AF24" s="1">
        <v>2287</v>
      </c>
      <c r="AG24" s="1">
        <v>2287</v>
      </c>
      <c r="AH24" s="1">
        <v>0</v>
      </c>
    </row>
    <row r="25" spans="1:34" s="14" customFormat="1" ht="90" hidden="1" outlineLevel="1" x14ac:dyDescent="0.25">
      <c r="A25" s="13">
        <v>1</v>
      </c>
      <c r="B25" s="29" t="s">
        <v>147</v>
      </c>
      <c r="C25" s="8" t="s">
        <v>57</v>
      </c>
      <c r="D25" s="27" t="s">
        <v>58</v>
      </c>
      <c r="E25" s="106">
        <f>+SUM(G25:K25)</f>
        <v>820.11111111111109</v>
      </c>
      <c r="F25" s="8">
        <f t="shared" ref="F25:F62" si="11">+AC25+AF25</f>
        <v>671</v>
      </c>
      <c r="G25" s="41">
        <f t="shared" ref="G25:G62" si="12">+AD25+AG25</f>
        <v>671</v>
      </c>
      <c r="H25" s="41">
        <f t="shared" ref="H25:H62" si="13">+AE25+AI25</f>
        <v>0</v>
      </c>
      <c r="I25" s="28">
        <v>0</v>
      </c>
      <c r="J25" s="28">
        <v>67.099999999999994</v>
      </c>
      <c r="K25" s="28">
        <f>+(G25+J25)/0.9*0.1</f>
        <v>82.01111111111112</v>
      </c>
      <c r="L25" s="27" t="s">
        <v>58</v>
      </c>
      <c r="M25" s="4">
        <f t="shared" si="8"/>
        <v>100.00000000000001</v>
      </c>
      <c r="N25" s="10">
        <f t="shared" si="9"/>
        <v>81.818181818181827</v>
      </c>
      <c r="O25" s="10">
        <f t="shared" si="9"/>
        <v>0</v>
      </c>
      <c r="P25" s="10">
        <f t="shared" si="9"/>
        <v>0</v>
      </c>
      <c r="Q25" s="10">
        <f t="shared" si="9"/>
        <v>8.1818181818181817</v>
      </c>
      <c r="R25" s="10">
        <f t="shared" si="9"/>
        <v>10.000000000000002</v>
      </c>
      <c r="AC25" s="1">
        <f t="shared" ref="AC25:AC82" si="14">+AD25+AE25</f>
        <v>0</v>
      </c>
      <c r="AF25" s="14">
        <v>671</v>
      </c>
      <c r="AG25" s="14">
        <v>671</v>
      </c>
      <c r="AH25" s="14">
        <v>0</v>
      </c>
    </row>
    <row r="26" spans="1:34" s="14" customFormat="1" ht="75" hidden="1" outlineLevel="1" x14ac:dyDescent="0.25">
      <c r="A26" s="13">
        <f>+A25+1</f>
        <v>2</v>
      </c>
      <c r="B26" s="29" t="s">
        <v>148</v>
      </c>
      <c r="C26" s="8" t="s">
        <v>57</v>
      </c>
      <c r="D26" s="27" t="s">
        <v>59</v>
      </c>
      <c r="E26" s="106">
        <f t="shared" ref="E26:E28" si="15">+SUM(G26:K26)</f>
        <v>569.55555555555554</v>
      </c>
      <c r="F26" s="8">
        <f t="shared" si="11"/>
        <v>466</v>
      </c>
      <c r="G26" s="41">
        <f t="shared" si="12"/>
        <v>466</v>
      </c>
      <c r="H26" s="41">
        <f t="shared" si="13"/>
        <v>0</v>
      </c>
      <c r="I26" s="28">
        <v>0</v>
      </c>
      <c r="J26" s="28">
        <v>46.6</v>
      </c>
      <c r="K26" s="28">
        <f t="shared" ref="K26:K28" si="16">+(G26+J26)/0.9*0.1</f>
        <v>56.955555555555556</v>
      </c>
      <c r="L26" s="27" t="s">
        <v>59</v>
      </c>
      <c r="M26" s="4">
        <f t="shared" si="8"/>
        <v>100.00000000000001</v>
      </c>
      <c r="N26" s="10">
        <f t="shared" si="9"/>
        <v>81.818181818181827</v>
      </c>
      <c r="O26" s="10">
        <f t="shared" si="9"/>
        <v>0</v>
      </c>
      <c r="P26" s="10">
        <f t="shared" si="9"/>
        <v>0</v>
      </c>
      <c r="Q26" s="10">
        <f t="shared" si="9"/>
        <v>8.1818181818181817</v>
      </c>
      <c r="R26" s="10">
        <f t="shared" si="9"/>
        <v>10</v>
      </c>
      <c r="AC26" s="1">
        <f t="shared" si="14"/>
        <v>0</v>
      </c>
      <c r="AF26" s="14">
        <v>466</v>
      </c>
      <c r="AG26" s="14">
        <v>466</v>
      </c>
      <c r="AH26" s="14">
        <v>0</v>
      </c>
    </row>
    <row r="27" spans="1:34" s="14" customFormat="1" ht="60" hidden="1" outlineLevel="1" x14ac:dyDescent="0.25">
      <c r="A27" s="13">
        <f t="shared" ref="A27:A28" si="17">+A26+1</f>
        <v>3</v>
      </c>
      <c r="B27" s="29" t="s">
        <v>149</v>
      </c>
      <c r="C27" s="8" t="s">
        <v>57</v>
      </c>
      <c r="D27" s="29" t="s">
        <v>60</v>
      </c>
      <c r="E27" s="106">
        <f t="shared" si="15"/>
        <v>574.44444444444446</v>
      </c>
      <c r="F27" s="8">
        <f t="shared" si="11"/>
        <v>470</v>
      </c>
      <c r="G27" s="41">
        <f t="shared" si="12"/>
        <v>470</v>
      </c>
      <c r="H27" s="41">
        <f t="shared" si="13"/>
        <v>0</v>
      </c>
      <c r="I27" s="28">
        <v>0</v>
      </c>
      <c r="J27" s="28">
        <v>47</v>
      </c>
      <c r="K27" s="28">
        <f t="shared" si="16"/>
        <v>57.44444444444445</v>
      </c>
      <c r="L27" s="29" t="s">
        <v>60</v>
      </c>
      <c r="M27" s="4">
        <f t="shared" si="8"/>
        <v>100</v>
      </c>
      <c r="N27" s="10">
        <f t="shared" si="9"/>
        <v>81.818181818181813</v>
      </c>
      <c r="O27" s="10">
        <f t="shared" si="9"/>
        <v>0</v>
      </c>
      <c r="P27" s="10">
        <f t="shared" si="9"/>
        <v>0</v>
      </c>
      <c r="Q27" s="10">
        <f t="shared" si="9"/>
        <v>8.1818181818181817</v>
      </c>
      <c r="R27" s="10">
        <f t="shared" si="9"/>
        <v>10</v>
      </c>
      <c r="AC27" s="1">
        <f t="shared" si="14"/>
        <v>0</v>
      </c>
      <c r="AF27" s="14">
        <v>470</v>
      </c>
      <c r="AG27" s="14">
        <v>470</v>
      </c>
      <c r="AH27" s="14">
        <v>0</v>
      </c>
    </row>
    <row r="28" spans="1:34" s="14" customFormat="1" ht="75" hidden="1" outlineLevel="1" x14ac:dyDescent="0.25">
      <c r="A28" s="13">
        <f t="shared" si="17"/>
        <v>4</v>
      </c>
      <c r="B28" s="29" t="s">
        <v>150</v>
      </c>
      <c r="C28" s="8" t="s">
        <v>57</v>
      </c>
      <c r="D28" s="8" t="s">
        <v>61</v>
      </c>
      <c r="E28" s="106">
        <f t="shared" si="15"/>
        <v>831.11111111111109</v>
      </c>
      <c r="F28" s="8">
        <f t="shared" si="11"/>
        <v>680</v>
      </c>
      <c r="G28" s="41">
        <f t="shared" si="12"/>
        <v>680</v>
      </c>
      <c r="H28" s="41">
        <f t="shared" si="13"/>
        <v>0</v>
      </c>
      <c r="I28" s="28">
        <v>0</v>
      </c>
      <c r="J28" s="28">
        <v>68</v>
      </c>
      <c r="K28" s="28">
        <f t="shared" si="16"/>
        <v>83.111111111111114</v>
      </c>
      <c r="L28" s="29" t="s">
        <v>61</v>
      </c>
      <c r="M28" s="4">
        <f t="shared" si="8"/>
        <v>100.00000000000001</v>
      </c>
      <c r="N28" s="10">
        <f t="shared" si="9"/>
        <v>81.818181818181827</v>
      </c>
      <c r="O28" s="10">
        <f t="shared" si="9"/>
        <v>0</v>
      </c>
      <c r="P28" s="10">
        <f t="shared" si="9"/>
        <v>0</v>
      </c>
      <c r="Q28" s="10">
        <f t="shared" si="9"/>
        <v>8.1818181818181817</v>
      </c>
      <c r="R28" s="10">
        <f t="shared" si="9"/>
        <v>10</v>
      </c>
      <c r="AC28" s="1">
        <f t="shared" si="14"/>
        <v>0</v>
      </c>
      <c r="AF28" s="14">
        <v>680</v>
      </c>
      <c r="AG28" s="14">
        <v>680</v>
      </c>
      <c r="AH28" s="14">
        <v>0</v>
      </c>
    </row>
    <row r="29" spans="1:34" s="45" customFormat="1" ht="21.75" customHeight="1" collapsed="1" x14ac:dyDescent="0.25">
      <c r="A29" s="39" t="s">
        <v>25</v>
      </c>
      <c r="B29" s="27" t="s">
        <v>28</v>
      </c>
      <c r="C29" s="33"/>
      <c r="D29" s="33"/>
      <c r="E29" s="41">
        <f>+SUM(E30:E34)</f>
        <v>2795.2222222222222</v>
      </c>
      <c r="F29" s="8">
        <f t="shared" si="11"/>
        <v>2347</v>
      </c>
      <c r="G29" s="41">
        <f t="shared" si="12"/>
        <v>2327</v>
      </c>
      <c r="H29" s="41">
        <f t="shared" si="13"/>
        <v>20</v>
      </c>
      <c r="I29" s="41">
        <f t="shared" ref="I29:K29" si="18">+SUM(I30:I34)</f>
        <v>0</v>
      </c>
      <c r="J29" s="41">
        <f t="shared" si="18"/>
        <v>228.70000000000002</v>
      </c>
      <c r="K29" s="41">
        <f t="shared" si="18"/>
        <v>279.52222222222224</v>
      </c>
      <c r="L29" s="33"/>
      <c r="M29" s="4">
        <f t="shared" si="8"/>
        <v>102.14651985530867</v>
      </c>
      <c r="N29" s="10">
        <f t="shared" si="9"/>
        <v>83.249195055054258</v>
      </c>
      <c r="O29" s="10">
        <f t="shared" si="9"/>
        <v>0.71550661843622054</v>
      </c>
      <c r="P29" s="10">
        <f t="shared" si="9"/>
        <v>0</v>
      </c>
      <c r="Q29" s="10">
        <f t="shared" si="9"/>
        <v>8.1818181818181834</v>
      </c>
      <c r="R29" s="10">
        <f t="shared" si="9"/>
        <v>10</v>
      </c>
      <c r="AC29" s="1">
        <f t="shared" si="14"/>
        <v>60</v>
      </c>
      <c r="AD29" s="45">
        <v>40</v>
      </c>
      <c r="AE29" s="45">
        <v>20</v>
      </c>
      <c r="AF29" s="45">
        <v>2287</v>
      </c>
      <c r="AG29" s="45">
        <v>2287</v>
      </c>
      <c r="AH29" s="45">
        <v>0</v>
      </c>
    </row>
    <row r="30" spans="1:34" s="45" customFormat="1" ht="90" hidden="1" x14ac:dyDescent="0.25">
      <c r="A30" s="13">
        <v>1</v>
      </c>
      <c r="B30" s="93" t="s">
        <v>155</v>
      </c>
      <c r="C30" s="33" t="s">
        <v>62</v>
      </c>
      <c r="D30" s="34" t="s">
        <v>63</v>
      </c>
      <c r="E30" s="35">
        <v>820.11111111111109</v>
      </c>
      <c r="F30" s="8">
        <f t="shared" si="11"/>
        <v>671</v>
      </c>
      <c r="G30" s="41">
        <f t="shared" si="12"/>
        <v>671</v>
      </c>
      <c r="H30" s="41">
        <f t="shared" si="13"/>
        <v>0</v>
      </c>
      <c r="I30" s="35"/>
      <c r="J30" s="35">
        <v>67.099999999999994</v>
      </c>
      <c r="K30" s="35">
        <v>82.01111111111112</v>
      </c>
      <c r="L30" s="34" t="s">
        <v>63</v>
      </c>
      <c r="M30" s="4">
        <f t="shared" si="8"/>
        <v>100.00000000000001</v>
      </c>
      <c r="N30" s="10">
        <f t="shared" si="9"/>
        <v>81.818181818181827</v>
      </c>
      <c r="O30" s="10">
        <f t="shared" si="9"/>
        <v>0</v>
      </c>
      <c r="P30" s="10">
        <f t="shared" si="9"/>
        <v>0</v>
      </c>
      <c r="Q30" s="10">
        <f t="shared" si="9"/>
        <v>8.1818181818181817</v>
      </c>
      <c r="R30" s="10">
        <f t="shared" si="9"/>
        <v>10.000000000000002</v>
      </c>
      <c r="AC30" s="1">
        <f t="shared" si="14"/>
        <v>0</v>
      </c>
      <c r="AF30" s="45">
        <v>671</v>
      </c>
      <c r="AG30" s="45">
        <v>671</v>
      </c>
    </row>
    <row r="31" spans="1:34" s="45" customFormat="1" ht="45" hidden="1" x14ac:dyDescent="0.25">
      <c r="A31" s="13">
        <v>2</v>
      </c>
      <c r="B31" s="93" t="s">
        <v>152</v>
      </c>
      <c r="C31" s="33" t="s">
        <v>62</v>
      </c>
      <c r="D31" s="34" t="s">
        <v>64</v>
      </c>
      <c r="E31" s="35">
        <v>534.11111111111109</v>
      </c>
      <c r="F31" s="8">
        <f t="shared" si="11"/>
        <v>437</v>
      </c>
      <c r="G31" s="41">
        <f t="shared" si="12"/>
        <v>437</v>
      </c>
      <c r="H31" s="41">
        <f t="shared" si="13"/>
        <v>0</v>
      </c>
      <c r="I31" s="35"/>
      <c r="J31" s="35">
        <v>43.7</v>
      </c>
      <c r="K31" s="35">
        <v>53.411111111111119</v>
      </c>
      <c r="L31" s="34" t="s">
        <v>64</v>
      </c>
      <c r="M31" s="4">
        <f t="shared" si="8"/>
        <v>100.00000000000001</v>
      </c>
      <c r="N31" s="10">
        <f t="shared" si="9"/>
        <v>81.818181818181827</v>
      </c>
      <c r="O31" s="10">
        <f t="shared" si="9"/>
        <v>0</v>
      </c>
      <c r="P31" s="10">
        <f t="shared" si="9"/>
        <v>0</v>
      </c>
      <c r="Q31" s="10">
        <f t="shared" si="9"/>
        <v>8.1818181818181834</v>
      </c>
      <c r="R31" s="10">
        <f t="shared" si="9"/>
        <v>10.000000000000002</v>
      </c>
      <c r="AC31" s="1">
        <f t="shared" si="14"/>
        <v>0</v>
      </c>
      <c r="AF31" s="45">
        <v>437</v>
      </c>
      <c r="AG31" s="45">
        <v>437</v>
      </c>
    </row>
    <row r="32" spans="1:34" s="45" customFormat="1" ht="45" hidden="1" x14ac:dyDescent="0.25">
      <c r="A32" s="13">
        <v>3</v>
      </c>
      <c r="B32" s="94" t="s">
        <v>151</v>
      </c>
      <c r="C32" s="33" t="s">
        <v>62</v>
      </c>
      <c r="D32" s="34" t="s">
        <v>65</v>
      </c>
      <c r="E32" s="35">
        <v>342.22222222222223</v>
      </c>
      <c r="F32" s="8">
        <f t="shared" si="11"/>
        <v>280</v>
      </c>
      <c r="G32" s="41">
        <f t="shared" si="12"/>
        <v>280</v>
      </c>
      <c r="H32" s="41">
        <f t="shared" si="13"/>
        <v>0</v>
      </c>
      <c r="I32" s="35"/>
      <c r="J32" s="35">
        <v>28</v>
      </c>
      <c r="K32" s="35">
        <v>34.222222222222221</v>
      </c>
      <c r="L32" s="34" t="s">
        <v>65</v>
      </c>
      <c r="M32" s="4">
        <f t="shared" si="8"/>
        <v>100</v>
      </c>
      <c r="N32" s="10">
        <f t="shared" si="9"/>
        <v>81.818181818181813</v>
      </c>
      <c r="O32" s="10">
        <f t="shared" si="9"/>
        <v>0</v>
      </c>
      <c r="P32" s="10">
        <f t="shared" si="9"/>
        <v>0</v>
      </c>
      <c r="Q32" s="10">
        <f t="shared" si="9"/>
        <v>8.1818181818181817</v>
      </c>
      <c r="R32" s="10">
        <f t="shared" si="9"/>
        <v>10</v>
      </c>
      <c r="AC32" s="1">
        <f t="shared" si="14"/>
        <v>0</v>
      </c>
      <c r="AF32" s="45">
        <v>280</v>
      </c>
      <c r="AG32" s="45">
        <v>280</v>
      </c>
    </row>
    <row r="33" spans="1:34" s="45" customFormat="1" ht="45" hidden="1" x14ac:dyDescent="0.25">
      <c r="A33" s="13">
        <v>4</v>
      </c>
      <c r="B33" s="93" t="s">
        <v>153</v>
      </c>
      <c r="C33" s="33" t="s">
        <v>62</v>
      </c>
      <c r="D33" s="34" t="s">
        <v>66</v>
      </c>
      <c r="E33" s="35">
        <v>342.22222222222223</v>
      </c>
      <c r="F33" s="8">
        <f t="shared" si="11"/>
        <v>280</v>
      </c>
      <c r="G33" s="41">
        <f t="shared" si="12"/>
        <v>280</v>
      </c>
      <c r="H33" s="41">
        <f t="shared" si="13"/>
        <v>0</v>
      </c>
      <c r="I33" s="35"/>
      <c r="J33" s="35">
        <v>28</v>
      </c>
      <c r="K33" s="35">
        <v>34.222222222222221</v>
      </c>
      <c r="L33" s="34" t="s">
        <v>66</v>
      </c>
      <c r="M33" s="4">
        <f t="shared" si="8"/>
        <v>100</v>
      </c>
      <c r="N33" s="10">
        <f t="shared" si="9"/>
        <v>81.818181818181813</v>
      </c>
      <c r="O33" s="10">
        <f t="shared" si="9"/>
        <v>0</v>
      </c>
      <c r="P33" s="10">
        <f t="shared" si="9"/>
        <v>0</v>
      </c>
      <c r="Q33" s="10">
        <f t="shared" si="9"/>
        <v>8.1818181818181817</v>
      </c>
      <c r="R33" s="10">
        <f t="shared" si="9"/>
        <v>10</v>
      </c>
      <c r="AC33" s="1">
        <f t="shared" si="14"/>
        <v>0</v>
      </c>
      <c r="AF33" s="45">
        <v>280</v>
      </c>
      <c r="AG33" s="45">
        <v>280</v>
      </c>
    </row>
    <row r="34" spans="1:34" s="45" customFormat="1" ht="45" hidden="1" x14ac:dyDescent="0.25">
      <c r="A34" s="13">
        <v>5</v>
      </c>
      <c r="B34" s="93" t="s">
        <v>154</v>
      </c>
      <c r="C34" s="33" t="s">
        <v>62</v>
      </c>
      <c r="D34" s="34" t="s">
        <v>67</v>
      </c>
      <c r="E34" s="35">
        <v>756.55555555555554</v>
      </c>
      <c r="F34" s="8">
        <f t="shared" si="11"/>
        <v>619</v>
      </c>
      <c r="G34" s="41">
        <f t="shared" si="12"/>
        <v>619</v>
      </c>
      <c r="H34" s="41">
        <f t="shared" si="13"/>
        <v>0</v>
      </c>
      <c r="I34" s="35"/>
      <c r="J34" s="35">
        <v>61.9</v>
      </c>
      <c r="K34" s="35">
        <v>75.655555555555551</v>
      </c>
      <c r="L34" s="34" t="s">
        <v>67</v>
      </c>
      <c r="M34" s="4">
        <f t="shared" si="8"/>
        <v>100.00000000000001</v>
      </c>
      <c r="N34" s="10">
        <f t="shared" si="9"/>
        <v>81.818181818181827</v>
      </c>
      <c r="O34" s="10">
        <f t="shared" si="9"/>
        <v>0</v>
      </c>
      <c r="P34" s="10">
        <f t="shared" si="9"/>
        <v>0</v>
      </c>
      <c r="Q34" s="10">
        <f t="shared" si="9"/>
        <v>8.1818181818181817</v>
      </c>
      <c r="R34" s="10">
        <f t="shared" si="9"/>
        <v>10</v>
      </c>
      <c r="AC34" s="1">
        <f t="shared" si="14"/>
        <v>0</v>
      </c>
      <c r="AF34" s="45">
        <v>619</v>
      </c>
      <c r="AG34" s="45">
        <v>619</v>
      </c>
    </row>
    <row r="35" spans="1:34" ht="19.5" customHeight="1" x14ac:dyDescent="0.25">
      <c r="A35" s="20" t="s">
        <v>35</v>
      </c>
      <c r="B35" s="102" t="s">
        <v>36</v>
      </c>
      <c r="C35" s="41"/>
      <c r="D35" s="41"/>
      <c r="E35" s="41">
        <f>+SUM(E36:E39)</f>
        <v>2795.2222222222222</v>
      </c>
      <c r="F35" s="8">
        <f t="shared" si="11"/>
        <v>2287</v>
      </c>
      <c r="G35" s="41">
        <f t="shared" si="12"/>
        <v>2287</v>
      </c>
      <c r="H35" s="41">
        <f t="shared" si="13"/>
        <v>0</v>
      </c>
      <c r="I35" s="41">
        <f t="shared" ref="I35:K35" si="19">+SUM(I36:I39)</f>
        <v>0</v>
      </c>
      <c r="J35" s="41">
        <f t="shared" si="19"/>
        <v>228.7</v>
      </c>
      <c r="K35" s="41">
        <f t="shared" si="19"/>
        <v>279.52222222222224</v>
      </c>
      <c r="L35" s="41"/>
      <c r="M35" s="4">
        <f>+N35+O35+P35+Q35+R35</f>
        <v>100.00000000000001</v>
      </c>
      <c r="N35" s="10">
        <f>+G35/$E35*100</f>
        <v>81.818181818181827</v>
      </c>
      <c r="O35" s="10">
        <f t="shared" si="9"/>
        <v>0</v>
      </c>
      <c r="P35" s="10">
        <f t="shared" si="9"/>
        <v>0</v>
      </c>
      <c r="Q35" s="10">
        <f t="shared" si="9"/>
        <v>8.1818181818181817</v>
      </c>
      <c r="R35" s="10">
        <f t="shared" si="9"/>
        <v>10</v>
      </c>
      <c r="AC35" s="1">
        <f t="shared" si="14"/>
        <v>0</v>
      </c>
      <c r="AF35" s="1">
        <v>2287</v>
      </c>
      <c r="AG35" s="1">
        <v>2287</v>
      </c>
      <c r="AH35" s="1">
        <v>0</v>
      </c>
    </row>
    <row r="36" spans="1:34" s="14" customFormat="1" ht="30" hidden="1" outlineLevel="1" x14ac:dyDescent="0.25">
      <c r="A36" s="13">
        <v>1</v>
      </c>
      <c r="B36" s="29" t="s">
        <v>68</v>
      </c>
      <c r="C36" s="8" t="s">
        <v>69</v>
      </c>
      <c r="D36" s="8" t="s">
        <v>70</v>
      </c>
      <c r="E36" s="106">
        <f>+SUM(G36:K36)</f>
        <v>820.11111111111109</v>
      </c>
      <c r="F36" s="8">
        <f t="shared" si="11"/>
        <v>671</v>
      </c>
      <c r="G36" s="41">
        <f t="shared" si="12"/>
        <v>671</v>
      </c>
      <c r="H36" s="41">
        <f t="shared" si="13"/>
        <v>0</v>
      </c>
      <c r="I36" s="28"/>
      <c r="J36" s="28">
        <v>67.099999999999994</v>
      </c>
      <c r="K36" s="28">
        <f>(G36+J36)/0.9*0.1</f>
        <v>82.01111111111112</v>
      </c>
      <c r="L36" s="8" t="s">
        <v>70</v>
      </c>
      <c r="M36" s="4">
        <f t="shared" ref="M36:M80" si="20">+N36+O36+P36+Q36+R36</f>
        <v>100.00000000000001</v>
      </c>
      <c r="N36" s="10">
        <f t="shared" ref="N36:R52" si="21">+G36/$E36*100</f>
        <v>81.818181818181827</v>
      </c>
      <c r="O36" s="10">
        <f t="shared" si="9"/>
        <v>0</v>
      </c>
      <c r="P36" s="10">
        <f t="shared" si="9"/>
        <v>0</v>
      </c>
      <c r="Q36" s="10">
        <f t="shared" si="9"/>
        <v>8.1818181818181817</v>
      </c>
      <c r="R36" s="10">
        <f t="shared" si="9"/>
        <v>10.000000000000002</v>
      </c>
      <c r="AC36" s="1">
        <f t="shared" si="14"/>
        <v>0</v>
      </c>
      <c r="AF36" s="14">
        <v>671</v>
      </c>
      <c r="AG36" s="14">
        <v>671</v>
      </c>
    </row>
    <row r="37" spans="1:34" s="14" customFormat="1" ht="30" hidden="1" outlineLevel="1" x14ac:dyDescent="0.25">
      <c r="A37" s="13">
        <v>2</v>
      </c>
      <c r="B37" s="29" t="s">
        <v>71</v>
      </c>
      <c r="C37" s="8" t="s">
        <v>69</v>
      </c>
      <c r="D37" s="8" t="s">
        <v>72</v>
      </c>
      <c r="E37" s="106">
        <f t="shared" ref="E37:E39" si="22">+SUM(G37:K37)</f>
        <v>488.88888888888891</v>
      </c>
      <c r="F37" s="8">
        <f t="shared" si="11"/>
        <v>400</v>
      </c>
      <c r="G37" s="41">
        <f t="shared" si="12"/>
        <v>400</v>
      </c>
      <c r="H37" s="41">
        <f t="shared" si="13"/>
        <v>0</v>
      </c>
      <c r="I37" s="28"/>
      <c r="J37" s="28">
        <v>40</v>
      </c>
      <c r="K37" s="28">
        <f t="shared" ref="K37:K39" si="23">(G37+J37)/0.9*0.1</f>
        <v>48.888888888888886</v>
      </c>
      <c r="L37" s="8" t="s">
        <v>72</v>
      </c>
      <c r="M37" s="4">
        <f t="shared" si="20"/>
        <v>100</v>
      </c>
      <c r="N37" s="10">
        <f t="shared" si="21"/>
        <v>81.818181818181813</v>
      </c>
      <c r="O37" s="10">
        <f t="shared" si="9"/>
        <v>0</v>
      </c>
      <c r="P37" s="10">
        <f t="shared" si="9"/>
        <v>0</v>
      </c>
      <c r="Q37" s="10">
        <f t="shared" si="9"/>
        <v>8.1818181818181817</v>
      </c>
      <c r="R37" s="10">
        <f t="shared" si="9"/>
        <v>10</v>
      </c>
      <c r="AC37" s="1">
        <f t="shared" si="14"/>
        <v>0</v>
      </c>
      <c r="AF37" s="14">
        <v>400</v>
      </c>
      <c r="AG37" s="14">
        <v>400</v>
      </c>
    </row>
    <row r="38" spans="1:34" s="14" customFormat="1" ht="30" hidden="1" outlineLevel="1" x14ac:dyDescent="0.25">
      <c r="A38" s="13">
        <v>3</v>
      </c>
      <c r="B38" s="29" t="s">
        <v>73</v>
      </c>
      <c r="C38" s="8" t="s">
        <v>69</v>
      </c>
      <c r="D38" s="8" t="s">
        <v>70</v>
      </c>
      <c r="E38" s="106">
        <f t="shared" si="22"/>
        <v>752.88888888888891</v>
      </c>
      <c r="F38" s="8">
        <f t="shared" si="11"/>
        <v>616</v>
      </c>
      <c r="G38" s="41">
        <f t="shared" si="12"/>
        <v>616</v>
      </c>
      <c r="H38" s="41">
        <f t="shared" si="13"/>
        <v>0</v>
      </c>
      <c r="I38" s="28"/>
      <c r="J38" s="28">
        <v>61.6</v>
      </c>
      <c r="K38" s="28">
        <f t="shared" si="23"/>
        <v>75.288888888888891</v>
      </c>
      <c r="L38" s="8" t="s">
        <v>70</v>
      </c>
      <c r="M38" s="4">
        <f t="shared" si="20"/>
        <v>100</v>
      </c>
      <c r="N38" s="10">
        <f t="shared" si="21"/>
        <v>81.818181818181813</v>
      </c>
      <c r="O38" s="10">
        <f t="shared" si="9"/>
        <v>0</v>
      </c>
      <c r="P38" s="10">
        <f t="shared" si="9"/>
        <v>0</v>
      </c>
      <c r="Q38" s="10">
        <f t="shared" si="9"/>
        <v>8.1818181818181817</v>
      </c>
      <c r="R38" s="10">
        <f t="shared" si="9"/>
        <v>10</v>
      </c>
      <c r="AC38" s="1">
        <f t="shared" si="14"/>
        <v>0</v>
      </c>
      <c r="AF38" s="14">
        <v>616</v>
      </c>
      <c r="AG38" s="14">
        <v>616</v>
      </c>
    </row>
    <row r="39" spans="1:34" s="14" customFormat="1" ht="30" hidden="1" outlineLevel="1" x14ac:dyDescent="0.25">
      <c r="A39" s="13">
        <v>4</v>
      </c>
      <c r="B39" s="29" t="s">
        <v>74</v>
      </c>
      <c r="C39" s="8" t="s">
        <v>69</v>
      </c>
      <c r="D39" s="8" t="s">
        <v>70</v>
      </c>
      <c r="E39" s="106">
        <f t="shared" si="22"/>
        <v>733.33333333333337</v>
      </c>
      <c r="F39" s="8">
        <f t="shared" si="11"/>
        <v>600</v>
      </c>
      <c r="G39" s="41">
        <f t="shared" si="12"/>
        <v>600</v>
      </c>
      <c r="H39" s="41">
        <f t="shared" si="13"/>
        <v>0</v>
      </c>
      <c r="I39" s="28"/>
      <c r="J39" s="28">
        <v>60</v>
      </c>
      <c r="K39" s="28">
        <f t="shared" si="23"/>
        <v>73.333333333333343</v>
      </c>
      <c r="L39" s="8" t="s">
        <v>70</v>
      </c>
      <c r="M39" s="4">
        <f t="shared" si="20"/>
        <v>100</v>
      </c>
      <c r="N39" s="10">
        <f t="shared" si="21"/>
        <v>81.818181818181813</v>
      </c>
      <c r="O39" s="10">
        <f t="shared" si="21"/>
        <v>0</v>
      </c>
      <c r="P39" s="10">
        <f t="shared" si="21"/>
        <v>0</v>
      </c>
      <c r="Q39" s="10">
        <f t="shared" si="21"/>
        <v>8.1818181818181817</v>
      </c>
      <c r="R39" s="10">
        <f t="shared" si="21"/>
        <v>10</v>
      </c>
      <c r="AC39" s="1">
        <f t="shared" si="14"/>
        <v>0</v>
      </c>
      <c r="AF39" s="14">
        <v>600</v>
      </c>
      <c r="AG39" s="14">
        <v>600</v>
      </c>
    </row>
    <row r="40" spans="1:34" collapsed="1" x14ac:dyDescent="0.25">
      <c r="A40" s="20" t="s">
        <v>37</v>
      </c>
      <c r="B40" s="102" t="s">
        <v>38</v>
      </c>
      <c r="C40" s="41"/>
      <c r="D40" s="41"/>
      <c r="E40" s="41">
        <f>+SUM(E41:E46)</f>
        <v>2533.6559999999999</v>
      </c>
      <c r="F40" s="8">
        <f t="shared" si="11"/>
        <v>2636.0000000000005</v>
      </c>
      <c r="G40" s="41">
        <f t="shared" si="12"/>
        <v>2567.0000000000005</v>
      </c>
      <c r="H40" s="41">
        <f t="shared" si="13"/>
        <v>69</v>
      </c>
      <c r="I40" s="41">
        <f t="shared" ref="I40:K40" si="24">+SUM(I41:I46)</f>
        <v>0</v>
      </c>
      <c r="J40" s="41">
        <f t="shared" si="24"/>
        <v>0</v>
      </c>
      <c r="K40" s="41">
        <f t="shared" si="24"/>
        <v>254.11111111111111</v>
      </c>
      <c r="L40" s="41"/>
      <c r="M40" s="4">
        <f t="shared" si="20"/>
        <v>114.06880456980393</v>
      </c>
      <c r="N40" s="10">
        <f t="shared" si="21"/>
        <v>101.31604290400908</v>
      </c>
      <c r="O40" s="10">
        <f t="shared" si="21"/>
        <v>2.7233373433488999</v>
      </c>
      <c r="P40" s="10">
        <f t="shared" si="21"/>
        <v>0</v>
      </c>
      <c r="Q40" s="10">
        <f t="shared" si="21"/>
        <v>0</v>
      </c>
      <c r="R40" s="10">
        <f t="shared" si="21"/>
        <v>10.029424322445948</v>
      </c>
      <c r="AC40" s="1">
        <f t="shared" si="14"/>
        <v>349</v>
      </c>
      <c r="AD40" s="1">
        <v>280</v>
      </c>
      <c r="AE40" s="1">
        <v>69</v>
      </c>
      <c r="AF40" s="1">
        <v>2287.0000000000005</v>
      </c>
      <c r="AG40" s="1">
        <v>2287.0000000000005</v>
      </c>
      <c r="AH40" s="1">
        <v>0</v>
      </c>
    </row>
    <row r="41" spans="1:34" s="14" customFormat="1" ht="30" hidden="1" outlineLevel="1" x14ac:dyDescent="0.25">
      <c r="A41" s="13">
        <v>1</v>
      </c>
      <c r="B41" s="29" t="s">
        <v>75</v>
      </c>
      <c r="C41" s="8" t="s">
        <v>76</v>
      </c>
      <c r="D41" s="8" t="s">
        <v>77</v>
      </c>
      <c r="E41" s="106">
        <v>671</v>
      </c>
      <c r="F41" s="8">
        <f t="shared" si="11"/>
        <v>610</v>
      </c>
      <c r="G41" s="41">
        <f t="shared" si="12"/>
        <v>610</v>
      </c>
      <c r="H41" s="41">
        <f t="shared" si="13"/>
        <v>0</v>
      </c>
      <c r="I41" s="28">
        <v>0</v>
      </c>
      <c r="J41" s="28">
        <v>0</v>
      </c>
      <c r="K41" s="28">
        <f>+G41/0.9*0.1</f>
        <v>67.777777777777771</v>
      </c>
      <c r="L41" s="8" t="s">
        <v>77</v>
      </c>
      <c r="M41" s="4">
        <f t="shared" si="20"/>
        <v>101.01010101010101</v>
      </c>
      <c r="N41" s="10">
        <f t="shared" si="21"/>
        <v>90.909090909090907</v>
      </c>
      <c r="O41" s="10">
        <f t="shared" si="21"/>
        <v>0</v>
      </c>
      <c r="P41" s="10">
        <f t="shared" si="21"/>
        <v>0</v>
      </c>
      <c r="Q41" s="10">
        <f t="shared" si="21"/>
        <v>0</v>
      </c>
      <c r="R41" s="10">
        <f t="shared" si="21"/>
        <v>10.1010101010101</v>
      </c>
      <c r="AC41" s="1">
        <f t="shared" si="14"/>
        <v>0</v>
      </c>
      <c r="AF41" s="14">
        <v>610</v>
      </c>
      <c r="AG41" s="14">
        <v>610</v>
      </c>
      <c r="AH41" s="14">
        <v>0</v>
      </c>
    </row>
    <row r="42" spans="1:34" s="14" customFormat="1" ht="30" hidden="1" outlineLevel="1" x14ac:dyDescent="0.25">
      <c r="A42" s="13">
        <v>2</v>
      </c>
      <c r="B42" s="29" t="s">
        <v>78</v>
      </c>
      <c r="C42" s="8" t="s">
        <v>76</v>
      </c>
      <c r="D42" s="8" t="s">
        <v>79</v>
      </c>
      <c r="E42" s="106">
        <v>67.099999999999994</v>
      </c>
      <c r="F42" s="8">
        <f t="shared" si="11"/>
        <v>61</v>
      </c>
      <c r="G42" s="41">
        <f t="shared" si="12"/>
        <v>61</v>
      </c>
      <c r="H42" s="41">
        <f t="shared" si="13"/>
        <v>0</v>
      </c>
      <c r="I42" s="28">
        <v>0</v>
      </c>
      <c r="J42" s="28">
        <v>0</v>
      </c>
      <c r="K42" s="28">
        <f t="shared" ref="K42:K46" si="25">+G42/0.9*0.1</f>
        <v>6.7777777777777777</v>
      </c>
      <c r="L42" s="8" t="s">
        <v>79</v>
      </c>
      <c r="M42" s="4">
        <f t="shared" si="20"/>
        <v>101.01010101010102</v>
      </c>
      <c r="N42" s="10">
        <f t="shared" si="21"/>
        <v>90.909090909090921</v>
      </c>
      <c r="O42" s="10">
        <f t="shared" si="21"/>
        <v>0</v>
      </c>
      <c r="P42" s="10">
        <f t="shared" si="21"/>
        <v>0</v>
      </c>
      <c r="Q42" s="10">
        <f t="shared" si="21"/>
        <v>0</v>
      </c>
      <c r="R42" s="10">
        <f t="shared" si="21"/>
        <v>10.101010101010102</v>
      </c>
      <c r="AC42" s="1">
        <f t="shared" si="14"/>
        <v>0</v>
      </c>
      <c r="AF42" s="14">
        <v>61</v>
      </c>
      <c r="AG42" s="14">
        <v>61</v>
      </c>
      <c r="AH42" s="14">
        <v>0</v>
      </c>
    </row>
    <row r="43" spans="1:34" s="14" customFormat="1" ht="45" hidden="1" outlineLevel="1" x14ac:dyDescent="0.25">
      <c r="A43" s="13">
        <v>3</v>
      </c>
      <c r="B43" s="29" t="s">
        <v>80</v>
      </c>
      <c r="C43" s="8" t="s">
        <v>76</v>
      </c>
      <c r="D43" s="8" t="s">
        <v>81</v>
      </c>
      <c r="E43" s="106">
        <v>486.15</v>
      </c>
      <c r="F43" s="8">
        <f t="shared" si="11"/>
        <v>437.53500000000003</v>
      </c>
      <c r="G43" s="41">
        <f t="shared" si="12"/>
        <v>437.53500000000003</v>
      </c>
      <c r="H43" s="41">
        <f t="shared" si="13"/>
        <v>0</v>
      </c>
      <c r="I43" s="28">
        <v>0</v>
      </c>
      <c r="J43" s="28">
        <v>0</v>
      </c>
      <c r="K43" s="28">
        <f t="shared" si="25"/>
        <v>48.615000000000009</v>
      </c>
      <c r="L43" s="8" t="s">
        <v>81</v>
      </c>
      <c r="M43" s="4">
        <f t="shared" si="20"/>
        <v>100.00000000000001</v>
      </c>
      <c r="N43" s="10">
        <f t="shared" si="21"/>
        <v>90.000000000000014</v>
      </c>
      <c r="O43" s="10">
        <f t="shared" si="21"/>
        <v>0</v>
      </c>
      <c r="P43" s="10">
        <f t="shared" si="21"/>
        <v>0</v>
      </c>
      <c r="Q43" s="10">
        <f t="shared" si="21"/>
        <v>0</v>
      </c>
      <c r="R43" s="10">
        <f t="shared" si="21"/>
        <v>10.000000000000002</v>
      </c>
      <c r="AC43" s="1">
        <f t="shared" si="14"/>
        <v>0</v>
      </c>
      <c r="AF43" s="14">
        <v>437.53500000000003</v>
      </c>
      <c r="AG43" s="14">
        <v>437.53500000000003</v>
      </c>
      <c r="AH43" s="14">
        <v>0</v>
      </c>
    </row>
    <row r="44" spans="1:34" s="14" customFormat="1" ht="45" hidden="1" outlineLevel="1" x14ac:dyDescent="0.25">
      <c r="A44" s="13">
        <v>4</v>
      </c>
      <c r="B44" s="29" t="s">
        <v>82</v>
      </c>
      <c r="C44" s="8" t="s">
        <v>76</v>
      </c>
      <c r="D44" s="8" t="s">
        <v>83</v>
      </c>
      <c r="E44" s="106">
        <v>232.56</v>
      </c>
      <c r="F44" s="8">
        <f t="shared" si="11"/>
        <v>209.304</v>
      </c>
      <c r="G44" s="41">
        <f t="shared" si="12"/>
        <v>209.304</v>
      </c>
      <c r="H44" s="41">
        <f t="shared" si="13"/>
        <v>0</v>
      </c>
      <c r="I44" s="28">
        <v>0</v>
      </c>
      <c r="J44" s="28">
        <v>0</v>
      </c>
      <c r="K44" s="28">
        <f t="shared" si="25"/>
        <v>23.256</v>
      </c>
      <c r="L44" s="8" t="s">
        <v>83</v>
      </c>
      <c r="M44" s="4">
        <f t="shared" si="20"/>
        <v>100</v>
      </c>
      <c r="N44" s="10">
        <f t="shared" si="21"/>
        <v>90</v>
      </c>
      <c r="O44" s="10">
        <f t="shared" si="21"/>
        <v>0</v>
      </c>
      <c r="P44" s="10">
        <f t="shared" si="21"/>
        <v>0</v>
      </c>
      <c r="Q44" s="10">
        <f t="shared" si="21"/>
        <v>0</v>
      </c>
      <c r="R44" s="10">
        <f t="shared" si="21"/>
        <v>10</v>
      </c>
      <c r="AC44" s="1">
        <f t="shared" si="14"/>
        <v>0</v>
      </c>
      <c r="AF44" s="14">
        <v>209.304</v>
      </c>
      <c r="AG44" s="14">
        <v>209.304</v>
      </c>
      <c r="AH44" s="14">
        <v>0</v>
      </c>
    </row>
    <row r="45" spans="1:34" s="14" customFormat="1" ht="45" hidden="1" outlineLevel="1" x14ac:dyDescent="0.25">
      <c r="A45" s="13">
        <v>5</v>
      </c>
      <c r="B45" s="29" t="s">
        <v>84</v>
      </c>
      <c r="C45" s="8" t="s">
        <v>76</v>
      </c>
      <c r="D45" s="8" t="s">
        <v>85</v>
      </c>
      <c r="E45" s="106">
        <v>567.12</v>
      </c>
      <c r="F45" s="8">
        <f t="shared" si="11"/>
        <v>510.40800000000002</v>
      </c>
      <c r="G45" s="41">
        <f t="shared" si="12"/>
        <v>510.40800000000002</v>
      </c>
      <c r="H45" s="41">
        <f t="shared" si="13"/>
        <v>0</v>
      </c>
      <c r="I45" s="28">
        <v>0</v>
      </c>
      <c r="J45" s="28">
        <v>0</v>
      </c>
      <c r="K45" s="28">
        <f t="shared" si="25"/>
        <v>56.712000000000003</v>
      </c>
      <c r="L45" s="8" t="s">
        <v>85</v>
      </c>
      <c r="M45" s="4">
        <f t="shared" si="20"/>
        <v>100</v>
      </c>
      <c r="N45" s="10">
        <f t="shared" si="21"/>
        <v>90</v>
      </c>
      <c r="O45" s="10">
        <f t="shared" si="21"/>
        <v>0</v>
      </c>
      <c r="P45" s="10">
        <f t="shared" si="21"/>
        <v>0</v>
      </c>
      <c r="Q45" s="10">
        <f t="shared" si="21"/>
        <v>0</v>
      </c>
      <c r="R45" s="10">
        <f t="shared" si="21"/>
        <v>10</v>
      </c>
      <c r="AC45" s="1">
        <f t="shared" si="14"/>
        <v>0</v>
      </c>
      <c r="AF45" s="14">
        <v>510.40800000000002</v>
      </c>
      <c r="AG45" s="14">
        <v>510.40800000000002</v>
      </c>
      <c r="AH45" s="14">
        <v>0</v>
      </c>
    </row>
    <row r="46" spans="1:34" s="14" customFormat="1" ht="30" hidden="1" outlineLevel="1" x14ac:dyDescent="0.25">
      <c r="A46" s="13">
        <v>6</v>
      </c>
      <c r="B46" s="29" t="s">
        <v>86</v>
      </c>
      <c r="C46" s="8" t="s">
        <v>76</v>
      </c>
      <c r="D46" s="8" t="s">
        <v>87</v>
      </c>
      <c r="E46" s="106">
        <v>509.726</v>
      </c>
      <c r="F46" s="8">
        <f t="shared" si="11"/>
        <v>458.75299999999999</v>
      </c>
      <c r="G46" s="41">
        <f t="shared" si="12"/>
        <v>458.75299999999999</v>
      </c>
      <c r="H46" s="41">
        <f t="shared" si="13"/>
        <v>0</v>
      </c>
      <c r="I46" s="28">
        <v>0</v>
      </c>
      <c r="J46" s="28">
        <v>0</v>
      </c>
      <c r="K46" s="28">
        <f t="shared" si="25"/>
        <v>50.972555555555552</v>
      </c>
      <c r="L46" s="8" t="s">
        <v>87</v>
      </c>
      <c r="M46" s="4">
        <f t="shared" si="20"/>
        <v>99.999912807185737</v>
      </c>
      <c r="N46" s="10">
        <f t="shared" si="21"/>
        <v>89.999921526467162</v>
      </c>
      <c r="O46" s="10">
        <f t="shared" si="21"/>
        <v>0</v>
      </c>
      <c r="P46" s="10">
        <f t="shared" si="21"/>
        <v>0</v>
      </c>
      <c r="Q46" s="10">
        <f t="shared" si="21"/>
        <v>0</v>
      </c>
      <c r="R46" s="10">
        <f t="shared" si="21"/>
        <v>9.9999912807185733</v>
      </c>
      <c r="AC46" s="1">
        <f t="shared" si="14"/>
        <v>0</v>
      </c>
      <c r="AF46" s="14">
        <v>458.75299999999999</v>
      </c>
      <c r="AG46" s="14">
        <v>458.75299999999999</v>
      </c>
      <c r="AH46" s="14">
        <v>0</v>
      </c>
    </row>
    <row r="47" spans="1:34" ht="28.5" customHeight="1" collapsed="1" x14ac:dyDescent="0.25">
      <c r="A47" s="20" t="s">
        <v>39</v>
      </c>
      <c r="B47" s="103" t="s">
        <v>22</v>
      </c>
      <c r="C47" s="41"/>
      <c r="D47" s="41"/>
      <c r="E47" s="41">
        <f>+SUM(E48:E51)</f>
        <v>2541</v>
      </c>
      <c r="F47" s="8">
        <f t="shared" si="11"/>
        <v>3041.5</v>
      </c>
      <c r="G47" s="41">
        <f t="shared" si="12"/>
        <v>2925.5</v>
      </c>
      <c r="H47" s="41">
        <f t="shared" si="13"/>
        <v>116</v>
      </c>
      <c r="I47" s="41">
        <f t="shared" ref="I47:K47" si="26">+SUM(I48:I51)</f>
        <v>0</v>
      </c>
      <c r="J47" s="41">
        <f t="shared" si="26"/>
        <v>0</v>
      </c>
      <c r="K47" s="41">
        <f t="shared" si="26"/>
        <v>253.99999999999994</v>
      </c>
      <c r="L47" s="41"/>
      <c r="M47" s="4">
        <f t="shared" si="20"/>
        <v>129.69303423848879</v>
      </c>
      <c r="N47" s="10">
        <f t="shared" si="21"/>
        <v>115.13183785911059</v>
      </c>
      <c r="O47" s="10">
        <f t="shared" si="21"/>
        <v>4.565131837859111</v>
      </c>
      <c r="P47" s="10">
        <f t="shared" si="21"/>
        <v>0</v>
      </c>
      <c r="Q47" s="10">
        <f t="shared" si="21"/>
        <v>0</v>
      </c>
      <c r="R47" s="10">
        <f t="shared" si="21"/>
        <v>9.9960645415190843</v>
      </c>
      <c r="AC47" s="1">
        <f t="shared" si="14"/>
        <v>754.5</v>
      </c>
      <c r="AD47" s="1">
        <v>638.5</v>
      </c>
      <c r="AE47" s="1">
        <f>20+96</f>
        <v>116</v>
      </c>
      <c r="AF47" s="1">
        <v>2287</v>
      </c>
      <c r="AG47" s="1">
        <v>2287</v>
      </c>
      <c r="AH47" s="1">
        <v>0</v>
      </c>
    </row>
    <row r="48" spans="1:34" ht="45" hidden="1" outlineLevel="1" x14ac:dyDescent="0.25">
      <c r="A48" s="13">
        <v>1</v>
      </c>
      <c r="B48" s="19" t="s">
        <v>88</v>
      </c>
      <c r="C48" s="13" t="s">
        <v>89</v>
      </c>
      <c r="D48" s="13" t="s">
        <v>90</v>
      </c>
      <c r="E48" s="13">
        <v>745</v>
      </c>
      <c r="F48" s="8">
        <f t="shared" si="11"/>
        <v>671</v>
      </c>
      <c r="G48" s="41">
        <f t="shared" si="12"/>
        <v>671</v>
      </c>
      <c r="H48" s="41">
        <f t="shared" si="13"/>
        <v>0</v>
      </c>
      <c r="I48" s="13"/>
      <c r="J48" s="13"/>
      <c r="K48" s="13">
        <f t="shared" ref="K48:K51" si="27">E48-G48</f>
        <v>74</v>
      </c>
      <c r="L48" s="13" t="s">
        <v>90</v>
      </c>
      <c r="M48" s="4">
        <f t="shared" si="20"/>
        <v>100</v>
      </c>
      <c r="N48" s="10">
        <f t="shared" si="21"/>
        <v>90.067114093959731</v>
      </c>
      <c r="O48" s="10">
        <f t="shared" si="21"/>
        <v>0</v>
      </c>
      <c r="P48" s="10">
        <f t="shared" si="21"/>
        <v>0</v>
      </c>
      <c r="Q48" s="10">
        <f t="shared" si="21"/>
        <v>0</v>
      </c>
      <c r="R48" s="10">
        <f t="shared" si="21"/>
        <v>9.9328859060402692</v>
      </c>
      <c r="AC48" s="1">
        <f t="shared" si="14"/>
        <v>0</v>
      </c>
      <c r="AF48" s="1">
        <v>671</v>
      </c>
      <c r="AG48" s="1">
        <v>671</v>
      </c>
    </row>
    <row r="49" spans="1:34" ht="45" hidden="1" outlineLevel="1" x14ac:dyDescent="0.25">
      <c r="A49" s="13">
        <v>2</v>
      </c>
      <c r="B49" s="19" t="s">
        <v>91</v>
      </c>
      <c r="C49" s="13" t="s">
        <v>89</v>
      </c>
      <c r="D49" s="13" t="s">
        <v>92</v>
      </c>
      <c r="E49" s="13">
        <v>624</v>
      </c>
      <c r="F49" s="8">
        <f t="shared" si="11"/>
        <v>561.20000000000005</v>
      </c>
      <c r="G49" s="41">
        <f t="shared" si="12"/>
        <v>561.20000000000005</v>
      </c>
      <c r="H49" s="41">
        <f t="shared" si="13"/>
        <v>0</v>
      </c>
      <c r="I49" s="13"/>
      <c r="J49" s="13"/>
      <c r="K49" s="13">
        <f t="shared" si="27"/>
        <v>62.799999999999955</v>
      </c>
      <c r="L49" s="13" t="s">
        <v>92</v>
      </c>
      <c r="M49" s="4">
        <f t="shared" si="20"/>
        <v>100</v>
      </c>
      <c r="N49" s="10">
        <f t="shared" si="21"/>
        <v>89.935897435897445</v>
      </c>
      <c r="O49" s="10">
        <f t="shared" si="21"/>
        <v>0</v>
      </c>
      <c r="P49" s="10">
        <f t="shared" si="21"/>
        <v>0</v>
      </c>
      <c r="Q49" s="10">
        <f t="shared" si="21"/>
        <v>0</v>
      </c>
      <c r="R49" s="10">
        <f t="shared" si="21"/>
        <v>10.064102564102557</v>
      </c>
      <c r="AC49" s="1">
        <f t="shared" si="14"/>
        <v>0</v>
      </c>
      <c r="AF49" s="1">
        <v>561.20000000000005</v>
      </c>
      <c r="AG49" s="1">
        <v>561.20000000000005</v>
      </c>
    </row>
    <row r="50" spans="1:34" ht="60" hidden="1" outlineLevel="1" x14ac:dyDescent="0.25">
      <c r="A50" s="13">
        <v>3</v>
      </c>
      <c r="B50" s="19" t="s">
        <v>93</v>
      </c>
      <c r="C50" s="13" t="s">
        <v>89</v>
      </c>
      <c r="D50" s="13" t="s">
        <v>94</v>
      </c>
      <c r="E50" s="13">
        <v>432</v>
      </c>
      <c r="F50" s="8">
        <f t="shared" si="11"/>
        <v>388.8</v>
      </c>
      <c r="G50" s="41">
        <f t="shared" si="12"/>
        <v>388.8</v>
      </c>
      <c r="H50" s="41">
        <f t="shared" si="13"/>
        <v>0</v>
      </c>
      <c r="I50" s="13"/>
      <c r="J50" s="13"/>
      <c r="K50" s="13">
        <f t="shared" si="27"/>
        <v>43.199999999999989</v>
      </c>
      <c r="L50" s="13" t="s">
        <v>94</v>
      </c>
      <c r="M50" s="4">
        <f t="shared" si="20"/>
        <v>100</v>
      </c>
      <c r="N50" s="10">
        <f t="shared" si="21"/>
        <v>90</v>
      </c>
      <c r="O50" s="10">
        <f t="shared" si="21"/>
        <v>0</v>
      </c>
      <c r="P50" s="10">
        <f t="shared" si="21"/>
        <v>0</v>
      </c>
      <c r="Q50" s="10">
        <f t="shared" si="21"/>
        <v>0</v>
      </c>
      <c r="R50" s="10">
        <f t="shared" si="21"/>
        <v>9.9999999999999982</v>
      </c>
      <c r="AC50" s="1">
        <f t="shared" si="14"/>
        <v>0</v>
      </c>
      <c r="AF50" s="1">
        <v>388.8</v>
      </c>
      <c r="AG50" s="1">
        <v>388.8</v>
      </c>
    </row>
    <row r="51" spans="1:34" ht="45" hidden="1" outlineLevel="1" x14ac:dyDescent="0.25">
      <c r="A51" s="13">
        <v>4</v>
      </c>
      <c r="B51" s="19" t="s">
        <v>95</v>
      </c>
      <c r="C51" s="13" t="s">
        <v>89</v>
      </c>
      <c r="D51" s="13" t="s">
        <v>96</v>
      </c>
      <c r="E51" s="13">
        <v>740</v>
      </c>
      <c r="F51" s="8">
        <f t="shared" si="11"/>
        <v>666</v>
      </c>
      <c r="G51" s="41">
        <f t="shared" si="12"/>
        <v>666</v>
      </c>
      <c r="H51" s="41">
        <f t="shared" si="13"/>
        <v>0</v>
      </c>
      <c r="I51" s="13"/>
      <c r="J51" s="13"/>
      <c r="K51" s="13">
        <f t="shared" si="27"/>
        <v>74</v>
      </c>
      <c r="L51" s="13" t="s">
        <v>96</v>
      </c>
      <c r="M51" s="4">
        <f t="shared" si="20"/>
        <v>100</v>
      </c>
      <c r="N51" s="10">
        <f t="shared" si="21"/>
        <v>90</v>
      </c>
      <c r="O51" s="10">
        <f t="shared" si="21"/>
        <v>0</v>
      </c>
      <c r="P51" s="10">
        <f t="shared" si="21"/>
        <v>0</v>
      </c>
      <c r="Q51" s="10">
        <f t="shared" si="21"/>
        <v>0</v>
      </c>
      <c r="R51" s="10">
        <f t="shared" si="21"/>
        <v>10</v>
      </c>
      <c r="AC51" s="1">
        <f t="shared" si="14"/>
        <v>0</v>
      </c>
      <c r="AF51" s="1">
        <v>666</v>
      </c>
      <c r="AG51" s="1">
        <v>666</v>
      </c>
    </row>
    <row r="52" spans="1:34" ht="21" customHeight="1" collapsed="1" x14ac:dyDescent="0.25">
      <c r="A52" s="20" t="s">
        <v>40</v>
      </c>
      <c r="B52" s="103" t="s">
        <v>41</v>
      </c>
      <c r="C52" s="41"/>
      <c r="D52" s="41"/>
      <c r="E52" s="41">
        <f t="shared" ref="E52:J52" si="28">+SUM(E53:E61)</f>
        <v>4459.5992939999996</v>
      </c>
      <c r="F52" s="8">
        <f t="shared" si="11"/>
        <v>2287</v>
      </c>
      <c r="G52" s="41">
        <f t="shared" si="12"/>
        <v>2287</v>
      </c>
      <c r="H52" s="41">
        <f t="shared" si="13"/>
        <v>0</v>
      </c>
      <c r="I52" s="41">
        <f t="shared" si="28"/>
        <v>0</v>
      </c>
      <c r="J52" s="41">
        <f t="shared" si="28"/>
        <v>1785.3192939999999</v>
      </c>
      <c r="K52" s="41">
        <f>+SUM(K53:K61)</f>
        <v>387.28</v>
      </c>
      <c r="L52" s="41"/>
      <c r="M52" s="4">
        <f t="shared" si="20"/>
        <v>100.00000000000001</v>
      </c>
      <c r="N52" s="10">
        <f t="shared" si="21"/>
        <v>51.282634363068411</v>
      </c>
      <c r="O52" s="10">
        <f t="shared" si="21"/>
        <v>0</v>
      </c>
      <c r="P52" s="10">
        <f t="shared" si="21"/>
        <v>0</v>
      </c>
      <c r="Q52" s="10">
        <f t="shared" si="21"/>
        <v>40.033177339542384</v>
      </c>
      <c r="R52" s="10">
        <f t="shared" si="21"/>
        <v>8.6841882973892144</v>
      </c>
      <c r="AC52" s="1">
        <f t="shared" si="14"/>
        <v>0</v>
      </c>
      <c r="AF52" s="1">
        <v>2287</v>
      </c>
      <c r="AG52" s="1">
        <v>2287</v>
      </c>
      <c r="AH52" s="1">
        <v>0</v>
      </c>
    </row>
    <row r="53" spans="1:34" ht="45" hidden="1" outlineLevel="1" x14ac:dyDescent="0.25">
      <c r="A53" s="13">
        <v>1</v>
      </c>
      <c r="B53" s="19" t="s">
        <v>156</v>
      </c>
      <c r="C53" s="13" t="s">
        <v>97</v>
      </c>
      <c r="D53" s="13" t="s">
        <v>98</v>
      </c>
      <c r="E53" s="13">
        <v>472</v>
      </c>
      <c r="F53" s="8">
        <f t="shared" si="11"/>
        <v>165.31450000000001</v>
      </c>
      <c r="G53" s="41">
        <f t="shared" si="12"/>
        <v>165.31450000000001</v>
      </c>
      <c r="H53" s="41">
        <f t="shared" si="13"/>
        <v>0</v>
      </c>
      <c r="I53" s="13"/>
      <c r="J53" s="13">
        <v>259.4855</v>
      </c>
      <c r="K53" s="13">
        <v>47.2</v>
      </c>
      <c r="L53" s="13" t="s">
        <v>98</v>
      </c>
      <c r="M53" s="4">
        <f t="shared" si="20"/>
        <v>100</v>
      </c>
      <c r="N53" s="10">
        <f t="shared" ref="N53:R68" si="29">+G53/$E53*100</f>
        <v>35.024258474576278</v>
      </c>
      <c r="O53" s="10">
        <f t="shared" si="29"/>
        <v>0</v>
      </c>
      <c r="P53" s="10">
        <f t="shared" si="29"/>
        <v>0</v>
      </c>
      <c r="Q53" s="10">
        <f t="shared" si="29"/>
        <v>54.975741525423729</v>
      </c>
      <c r="R53" s="10">
        <f t="shared" si="29"/>
        <v>10</v>
      </c>
      <c r="AC53" s="1">
        <f t="shared" si="14"/>
        <v>0</v>
      </c>
      <c r="AF53" s="1">
        <v>165.31450000000001</v>
      </c>
      <c r="AG53" s="1">
        <v>165.31450000000001</v>
      </c>
    </row>
    <row r="54" spans="1:34" ht="45" hidden="1" outlineLevel="1" x14ac:dyDescent="0.25">
      <c r="A54" s="13">
        <f>+A53+1</f>
        <v>2</v>
      </c>
      <c r="B54" s="19" t="s">
        <v>157</v>
      </c>
      <c r="C54" s="13" t="s">
        <v>97</v>
      </c>
      <c r="D54" s="13" t="s">
        <v>99</v>
      </c>
      <c r="E54" s="13">
        <v>400</v>
      </c>
      <c r="F54" s="8">
        <f t="shared" si="11"/>
        <v>185.16062600000001</v>
      </c>
      <c r="G54" s="41">
        <f t="shared" si="12"/>
        <v>185.16062600000001</v>
      </c>
      <c r="H54" s="41">
        <f t="shared" si="13"/>
        <v>0</v>
      </c>
      <c r="I54" s="13"/>
      <c r="J54" s="13">
        <v>174.83937399999999</v>
      </c>
      <c r="K54" s="13">
        <v>40</v>
      </c>
      <c r="L54" s="13" t="s">
        <v>99</v>
      </c>
      <c r="M54" s="4">
        <f t="shared" si="20"/>
        <v>100</v>
      </c>
      <c r="N54" s="10">
        <f t="shared" si="29"/>
        <v>46.290156500000002</v>
      </c>
      <c r="O54" s="10">
        <f t="shared" si="29"/>
        <v>0</v>
      </c>
      <c r="P54" s="10">
        <f t="shared" si="29"/>
        <v>0</v>
      </c>
      <c r="Q54" s="10">
        <f t="shared" si="29"/>
        <v>43.709843499999998</v>
      </c>
      <c r="R54" s="10">
        <f t="shared" si="29"/>
        <v>10</v>
      </c>
      <c r="AC54" s="1">
        <f t="shared" si="14"/>
        <v>0</v>
      </c>
      <c r="AF54" s="1">
        <v>185.16062600000001</v>
      </c>
      <c r="AG54" s="1">
        <v>185.16062600000001</v>
      </c>
    </row>
    <row r="55" spans="1:34" ht="45" hidden="1" outlineLevel="1" x14ac:dyDescent="0.25">
      <c r="A55" s="13">
        <f t="shared" ref="A55:A61" si="30">+A54+1</f>
        <v>3</v>
      </c>
      <c r="B55" s="19" t="s">
        <v>100</v>
      </c>
      <c r="C55" s="13" t="s">
        <v>97</v>
      </c>
      <c r="D55" s="13" t="s">
        <v>101</v>
      </c>
      <c r="E55" s="13">
        <v>250</v>
      </c>
      <c r="F55" s="8">
        <f t="shared" si="11"/>
        <v>225</v>
      </c>
      <c r="G55" s="41">
        <f t="shared" si="12"/>
        <v>225</v>
      </c>
      <c r="H55" s="41">
        <f t="shared" si="13"/>
        <v>0</v>
      </c>
      <c r="I55" s="13"/>
      <c r="J55" s="13">
        <v>0</v>
      </c>
      <c r="K55" s="13">
        <v>25</v>
      </c>
      <c r="L55" s="13" t="s">
        <v>101</v>
      </c>
      <c r="M55" s="4">
        <f t="shared" si="20"/>
        <v>100</v>
      </c>
      <c r="N55" s="10">
        <f t="shared" si="29"/>
        <v>90</v>
      </c>
      <c r="O55" s="10">
        <f t="shared" si="29"/>
        <v>0</v>
      </c>
      <c r="P55" s="10">
        <f t="shared" si="29"/>
        <v>0</v>
      </c>
      <c r="Q55" s="10">
        <f t="shared" si="29"/>
        <v>0</v>
      </c>
      <c r="R55" s="10">
        <f t="shared" si="29"/>
        <v>10</v>
      </c>
      <c r="AC55" s="1">
        <f t="shared" si="14"/>
        <v>0</v>
      </c>
      <c r="AF55" s="1">
        <v>225</v>
      </c>
      <c r="AG55" s="1">
        <v>225</v>
      </c>
    </row>
    <row r="56" spans="1:34" ht="60" hidden="1" outlineLevel="1" x14ac:dyDescent="0.25">
      <c r="A56" s="13">
        <f t="shared" si="30"/>
        <v>4</v>
      </c>
      <c r="B56" s="19" t="s">
        <v>102</v>
      </c>
      <c r="C56" s="13" t="s">
        <v>97</v>
      </c>
      <c r="D56" s="13" t="s">
        <v>103</v>
      </c>
      <c r="E56" s="13">
        <v>650</v>
      </c>
      <c r="F56" s="8">
        <f t="shared" si="11"/>
        <v>538.66666599999996</v>
      </c>
      <c r="G56" s="41">
        <f t="shared" si="12"/>
        <v>538.66666599999996</v>
      </c>
      <c r="H56" s="41">
        <f t="shared" si="13"/>
        <v>0</v>
      </c>
      <c r="I56" s="13"/>
      <c r="J56" s="13">
        <v>46.333334000000001</v>
      </c>
      <c r="K56" s="13">
        <v>65</v>
      </c>
      <c r="L56" s="13" t="s">
        <v>103</v>
      </c>
      <c r="M56" s="4">
        <f t="shared" si="20"/>
        <v>99.999999999999986</v>
      </c>
      <c r="N56" s="10">
        <f t="shared" si="29"/>
        <v>82.87179476923076</v>
      </c>
      <c r="O56" s="10">
        <f t="shared" si="29"/>
        <v>0</v>
      </c>
      <c r="P56" s="10">
        <f t="shared" si="29"/>
        <v>0</v>
      </c>
      <c r="Q56" s="10">
        <f t="shared" si="29"/>
        <v>7.1282052307692316</v>
      </c>
      <c r="R56" s="10">
        <f t="shared" si="29"/>
        <v>10</v>
      </c>
      <c r="AC56" s="1">
        <f t="shared" si="14"/>
        <v>0</v>
      </c>
      <c r="AF56" s="1">
        <v>538.66666599999996</v>
      </c>
      <c r="AG56" s="1">
        <v>538.66666599999996</v>
      </c>
    </row>
    <row r="57" spans="1:34" ht="45" hidden="1" outlineLevel="1" x14ac:dyDescent="0.25">
      <c r="A57" s="13">
        <f t="shared" si="30"/>
        <v>5</v>
      </c>
      <c r="B57" s="19" t="s">
        <v>158</v>
      </c>
      <c r="C57" s="13" t="s">
        <v>97</v>
      </c>
      <c r="D57" s="13" t="s">
        <v>104</v>
      </c>
      <c r="E57" s="13">
        <v>1900.7999999999997</v>
      </c>
      <c r="F57" s="8">
        <f t="shared" si="11"/>
        <v>538.66666799999996</v>
      </c>
      <c r="G57" s="41">
        <f t="shared" si="12"/>
        <v>538.66666799999996</v>
      </c>
      <c r="H57" s="41">
        <f t="shared" si="13"/>
        <v>0</v>
      </c>
      <c r="I57" s="13"/>
      <c r="J57" s="13">
        <v>1172.053332</v>
      </c>
      <c r="K57" s="13">
        <v>190.08</v>
      </c>
      <c r="L57" s="13" t="s">
        <v>104</v>
      </c>
      <c r="M57" s="4">
        <f t="shared" si="20"/>
        <v>100</v>
      </c>
      <c r="N57" s="10">
        <f t="shared" si="29"/>
        <v>28.338945075757575</v>
      </c>
      <c r="O57" s="10">
        <f t="shared" si="29"/>
        <v>0</v>
      </c>
      <c r="P57" s="10">
        <f t="shared" si="29"/>
        <v>0</v>
      </c>
      <c r="Q57" s="10">
        <f t="shared" si="29"/>
        <v>61.661054924242428</v>
      </c>
      <c r="R57" s="10">
        <f t="shared" si="29"/>
        <v>10.000000000000002</v>
      </c>
      <c r="AC57" s="1">
        <f t="shared" si="14"/>
        <v>0</v>
      </c>
      <c r="AF57" s="1">
        <v>538.66666799999996</v>
      </c>
      <c r="AG57" s="1">
        <v>538.66666799999996</v>
      </c>
    </row>
    <row r="58" spans="1:34" ht="60" hidden="1" outlineLevel="1" x14ac:dyDescent="0.25">
      <c r="A58" s="13">
        <f t="shared" si="30"/>
        <v>6</v>
      </c>
      <c r="B58" s="19" t="s">
        <v>105</v>
      </c>
      <c r="C58" s="13" t="s">
        <v>97</v>
      </c>
      <c r="D58" s="13" t="s">
        <v>106</v>
      </c>
      <c r="E58" s="13">
        <v>200</v>
      </c>
      <c r="F58" s="8">
        <f t="shared" si="11"/>
        <v>128.50604000000001</v>
      </c>
      <c r="G58" s="41">
        <f t="shared" si="12"/>
        <v>128.50604000000001</v>
      </c>
      <c r="H58" s="41">
        <f t="shared" si="13"/>
        <v>0</v>
      </c>
      <c r="I58" s="13"/>
      <c r="J58" s="13">
        <v>51.493960000000001</v>
      </c>
      <c r="K58" s="13">
        <v>20</v>
      </c>
      <c r="L58" s="13" t="s">
        <v>106</v>
      </c>
      <c r="M58" s="4">
        <f t="shared" si="20"/>
        <v>100.00000000000001</v>
      </c>
      <c r="N58" s="10">
        <f t="shared" si="29"/>
        <v>64.253020000000006</v>
      </c>
      <c r="O58" s="10">
        <f t="shared" si="29"/>
        <v>0</v>
      </c>
      <c r="P58" s="10">
        <f t="shared" si="29"/>
        <v>0</v>
      </c>
      <c r="Q58" s="10">
        <f t="shared" si="29"/>
        <v>25.746980000000004</v>
      </c>
      <c r="R58" s="10">
        <f t="shared" si="29"/>
        <v>10</v>
      </c>
      <c r="AC58" s="1">
        <f t="shared" si="14"/>
        <v>0</v>
      </c>
      <c r="AF58" s="1">
        <v>128.50604000000001</v>
      </c>
      <c r="AG58" s="1">
        <v>128.50604000000001</v>
      </c>
    </row>
    <row r="59" spans="1:34" ht="45" hidden="1" outlineLevel="1" x14ac:dyDescent="0.25">
      <c r="A59" s="13">
        <f t="shared" si="30"/>
        <v>7</v>
      </c>
      <c r="B59" s="19" t="s">
        <v>107</v>
      </c>
      <c r="C59" s="13" t="s">
        <v>97</v>
      </c>
      <c r="D59" s="13" t="s">
        <v>43</v>
      </c>
      <c r="E59" s="13">
        <v>313.637294</v>
      </c>
      <c r="F59" s="8">
        <f t="shared" si="11"/>
        <v>282.27356500000002</v>
      </c>
      <c r="G59" s="41">
        <f t="shared" si="12"/>
        <v>282.27356500000002</v>
      </c>
      <c r="H59" s="41">
        <f t="shared" si="13"/>
        <v>0</v>
      </c>
      <c r="I59" s="13"/>
      <c r="J59" s="13">
        <v>31.363728999999999</v>
      </c>
      <c r="K59" s="13">
        <v>0</v>
      </c>
      <c r="L59" s="13" t="s">
        <v>43</v>
      </c>
      <c r="M59" s="4">
        <f t="shared" si="20"/>
        <v>100</v>
      </c>
      <c r="N59" s="10">
        <f t="shared" si="29"/>
        <v>90.000000127535856</v>
      </c>
      <c r="O59" s="10">
        <f t="shared" si="29"/>
        <v>0</v>
      </c>
      <c r="P59" s="10">
        <f t="shared" si="29"/>
        <v>0</v>
      </c>
      <c r="Q59" s="10">
        <f t="shared" si="29"/>
        <v>9.9999998724641461</v>
      </c>
      <c r="R59" s="10">
        <f t="shared" si="29"/>
        <v>0</v>
      </c>
      <c r="AC59" s="1">
        <f t="shared" si="14"/>
        <v>0</v>
      </c>
      <c r="AF59" s="1">
        <v>282.27356500000002</v>
      </c>
      <c r="AG59" s="1">
        <v>282.27356500000002</v>
      </c>
    </row>
    <row r="60" spans="1:34" ht="60" hidden="1" outlineLevel="1" x14ac:dyDescent="0.25">
      <c r="A60" s="13">
        <f t="shared" si="30"/>
        <v>8</v>
      </c>
      <c r="B60" s="19" t="s">
        <v>108</v>
      </c>
      <c r="C60" s="13" t="s">
        <v>97</v>
      </c>
      <c r="D60" s="13" t="s">
        <v>109</v>
      </c>
      <c r="E60" s="13">
        <v>124.095</v>
      </c>
      <c r="F60" s="8">
        <f t="shared" si="11"/>
        <v>111.6855</v>
      </c>
      <c r="G60" s="41">
        <f t="shared" si="12"/>
        <v>111.6855</v>
      </c>
      <c r="H60" s="41">
        <f t="shared" si="13"/>
        <v>0</v>
      </c>
      <c r="I60" s="13"/>
      <c r="J60" s="13">
        <v>12.4095</v>
      </c>
      <c r="K60" s="13">
        <v>0</v>
      </c>
      <c r="L60" s="13" t="s">
        <v>109</v>
      </c>
      <c r="M60" s="4">
        <f t="shared" si="20"/>
        <v>100</v>
      </c>
      <c r="N60" s="10">
        <f t="shared" si="29"/>
        <v>90</v>
      </c>
      <c r="O60" s="10">
        <f t="shared" si="29"/>
        <v>0</v>
      </c>
      <c r="P60" s="10">
        <f t="shared" si="29"/>
        <v>0</v>
      </c>
      <c r="Q60" s="10">
        <f t="shared" si="29"/>
        <v>10</v>
      </c>
      <c r="R60" s="10">
        <f t="shared" si="29"/>
        <v>0</v>
      </c>
      <c r="AC60" s="1">
        <f t="shared" si="14"/>
        <v>0</v>
      </c>
      <c r="AF60" s="1">
        <v>111.6855</v>
      </c>
      <c r="AG60" s="1">
        <v>111.6855</v>
      </c>
    </row>
    <row r="61" spans="1:34" ht="100.5" hidden="1" customHeight="1" outlineLevel="1" x14ac:dyDescent="0.25">
      <c r="A61" s="13">
        <f t="shared" si="30"/>
        <v>9</v>
      </c>
      <c r="B61" s="19" t="s">
        <v>110</v>
      </c>
      <c r="C61" s="13" t="s">
        <v>97</v>
      </c>
      <c r="D61" s="9" t="s">
        <v>111</v>
      </c>
      <c r="E61" s="13">
        <v>149.06700000000001</v>
      </c>
      <c r="F61" s="8">
        <f t="shared" si="11"/>
        <v>111.726435</v>
      </c>
      <c r="G61" s="41">
        <f t="shared" si="12"/>
        <v>111.726435</v>
      </c>
      <c r="H61" s="41">
        <f t="shared" si="13"/>
        <v>0</v>
      </c>
      <c r="I61" s="13"/>
      <c r="J61" s="13">
        <v>37.340564999999998</v>
      </c>
      <c r="K61" s="13">
        <v>0</v>
      </c>
      <c r="L61" s="9" t="s">
        <v>111</v>
      </c>
      <c r="M61" s="4">
        <f t="shared" si="20"/>
        <v>100</v>
      </c>
      <c r="N61" s="10">
        <f t="shared" si="29"/>
        <v>74.950481998027726</v>
      </c>
      <c r="O61" s="10">
        <f t="shared" si="29"/>
        <v>0</v>
      </c>
      <c r="P61" s="10">
        <f t="shared" si="29"/>
        <v>0</v>
      </c>
      <c r="Q61" s="10">
        <f t="shared" si="29"/>
        <v>25.049518001972267</v>
      </c>
      <c r="R61" s="10">
        <f t="shared" si="29"/>
        <v>0</v>
      </c>
      <c r="AC61" s="1">
        <f t="shared" si="14"/>
        <v>0</v>
      </c>
      <c r="AF61" s="1">
        <v>111.726435</v>
      </c>
      <c r="AG61" s="1">
        <v>111.726435</v>
      </c>
    </row>
    <row r="62" spans="1:34" collapsed="1" x14ac:dyDescent="0.25">
      <c r="A62" s="20" t="s">
        <v>44</v>
      </c>
      <c r="B62" s="103" t="s">
        <v>45</v>
      </c>
      <c r="C62" s="41"/>
      <c r="D62" s="41"/>
      <c r="E62" s="41">
        <f>+SUM(E63:E76)</f>
        <v>3793.1669999999999</v>
      </c>
      <c r="F62" s="8">
        <f t="shared" si="11"/>
        <v>2287</v>
      </c>
      <c r="G62" s="41">
        <f t="shared" si="12"/>
        <v>2287</v>
      </c>
      <c r="H62" s="41">
        <f t="shared" si="13"/>
        <v>0</v>
      </c>
      <c r="I62" s="41">
        <f t="shared" ref="I62:K62" si="31">+SUM(I63:I76)</f>
        <v>0</v>
      </c>
      <c r="J62" s="41">
        <f t="shared" si="31"/>
        <v>1126.8503000000001</v>
      </c>
      <c r="K62" s="41">
        <f t="shared" si="31"/>
        <v>379.31669999999997</v>
      </c>
      <c r="L62" s="41"/>
      <c r="M62" s="4">
        <f t="shared" si="20"/>
        <v>100</v>
      </c>
      <c r="N62" s="10">
        <f t="shared" si="29"/>
        <v>60.292626188090324</v>
      </c>
      <c r="O62" s="10">
        <f t="shared" si="29"/>
        <v>0</v>
      </c>
      <c r="P62" s="10">
        <f t="shared" si="29"/>
        <v>0</v>
      </c>
      <c r="Q62" s="10">
        <f t="shared" si="29"/>
        <v>29.707373811909683</v>
      </c>
      <c r="R62" s="10">
        <f t="shared" si="29"/>
        <v>10</v>
      </c>
      <c r="AC62" s="1">
        <f t="shared" si="14"/>
        <v>0</v>
      </c>
      <c r="AF62" s="1">
        <v>2287</v>
      </c>
      <c r="AG62" s="1">
        <v>2287</v>
      </c>
      <c r="AH62" s="1">
        <v>0</v>
      </c>
    </row>
    <row r="63" spans="1:34" ht="45" hidden="1" outlineLevel="1" x14ac:dyDescent="0.25">
      <c r="A63" s="22">
        <v>1</v>
      </c>
      <c r="B63" s="37" t="s">
        <v>112</v>
      </c>
      <c r="C63" s="38" t="s">
        <v>113</v>
      </c>
      <c r="D63" s="37" t="s">
        <v>114</v>
      </c>
      <c r="E63" s="39">
        <v>300</v>
      </c>
      <c r="F63" s="8">
        <f t="shared" ref="F63:F82" si="32">+AC63+AF63</f>
        <v>240</v>
      </c>
      <c r="G63" s="41">
        <f t="shared" ref="G63:G82" si="33">+AD63+AG63</f>
        <v>240</v>
      </c>
      <c r="H63" s="41">
        <f t="shared" ref="H63:H82" si="34">+AE63+AI63</f>
        <v>0</v>
      </c>
      <c r="I63" s="40"/>
      <c r="J63" s="39">
        <v>30</v>
      </c>
      <c r="K63" s="41">
        <v>30</v>
      </c>
      <c r="L63" s="37" t="s">
        <v>114</v>
      </c>
      <c r="M63" s="4">
        <f t="shared" si="20"/>
        <v>100</v>
      </c>
      <c r="N63" s="10">
        <f t="shared" si="29"/>
        <v>80</v>
      </c>
      <c r="O63" s="10">
        <f t="shared" si="29"/>
        <v>0</v>
      </c>
      <c r="P63" s="10">
        <f t="shared" si="29"/>
        <v>0</v>
      </c>
      <c r="Q63" s="10">
        <f t="shared" si="29"/>
        <v>10</v>
      </c>
      <c r="R63" s="10">
        <f t="shared" si="29"/>
        <v>10</v>
      </c>
      <c r="AC63" s="1">
        <f t="shared" si="14"/>
        <v>0</v>
      </c>
      <c r="AF63" s="1">
        <v>240</v>
      </c>
      <c r="AG63" s="1">
        <v>240</v>
      </c>
    </row>
    <row r="64" spans="1:34" ht="45" hidden="1" outlineLevel="1" x14ac:dyDescent="0.25">
      <c r="A64" s="22">
        <v>2</v>
      </c>
      <c r="B64" s="37" t="s">
        <v>115</v>
      </c>
      <c r="C64" s="38" t="s">
        <v>113</v>
      </c>
      <c r="D64" s="37" t="s">
        <v>116</v>
      </c>
      <c r="E64" s="39">
        <v>111</v>
      </c>
      <c r="F64" s="8">
        <f t="shared" si="32"/>
        <v>88.8</v>
      </c>
      <c r="G64" s="41">
        <f t="shared" si="33"/>
        <v>88.8</v>
      </c>
      <c r="H64" s="41">
        <f t="shared" si="34"/>
        <v>0</v>
      </c>
      <c r="I64" s="40"/>
      <c r="J64" s="39">
        <v>11.1</v>
      </c>
      <c r="K64" s="41">
        <v>11.1</v>
      </c>
      <c r="L64" s="37" t="s">
        <v>116</v>
      </c>
      <c r="M64" s="4">
        <f t="shared" si="20"/>
        <v>100</v>
      </c>
      <c r="N64" s="10">
        <f t="shared" si="29"/>
        <v>80</v>
      </c>
      <c r="O64" s="10">
        <f t="shared" si="29"/>
        <v>0</v>
      </c>
      <c r="P64" s="10">
        <f t="shared" si="29"/>
        <v>0</v>
      </c>
      <c r="Q64" s="10">
        <f t="shared" si="29"/>
        <v>10</v>
      </c>
      <c r="R64" s="10">
        <f t="shared" si="29"/>
        <v>10</v>
      </c>
      <c r="AC64" s="1">
        <f t="shared" si="14"/>
        <v>0</v>
      </c>
      <c r="AF64" s="1">
        <v>88.8</v>
      </c>
      <c r="AG64" s="1">
        <v>88.8</v>
      </c>
    </row>
    <row r="65" spans="1:34" ht="45" hidden="1" outlineLevel="1" x14ac:dyDescent="0.25">
      <c r="A65" s="22">
        <v>3</v>
      </c>
      <c r="B65" s="37" t="s">
        <v>117</v>
      </c>
      <c r="C65" s="38" t="s">
        <v>113</v>
      </c>
      <c r="D65" s="37" t="s">
        <v>118</v>
      </c>
      <c r="E65" s="39">
        <v>210</v>
      </c>
      <c r="F65" s="8">
        <f t="shared" si="32"/>
        <v>168</v>
      </c>
      <c r="G65" s="41">
        <f t="shared" si="33"/>
        <v>168</v>
      </c>
      <c r="H65" s="41">
        <f t="shared" si="34"/>
        <v>0</v>
      </c>
      <c r="I65" s="40"/>
      <c r="J65" s="39">
        <v>21</v>
      </c>
      <c r="K65" s="41">
        <v>21</v>
      </c>
      <c r="L65" s="37" t="s">
        <v>118</v>
      </c>
      <c r="M65" s="4">
        <f t="shared" si="20"/>
        <v>100</v>
      </c>
      <c r="N65" s="10">
        <f t="shared" si="29"/>
        <v>80</v>
      </c>
      <c r="O65" s="10">
        <f t="shared" si="29"/>
        <v>0</v>
      </c>
      <c r="P65" s="10">
        <f t="shared" si="29"/>
        <v>0</v>
      </c>
      <c r="Q65" s="10">
        <f t="shared" si="29"/>
        <v>10</v>
      </c>
      <c r="R65" s="10">
        <f t="shared" si="29"/>
        <v>10</v>
      </c>
      <c r="AC65" s="1">
        <f t="shared" si="14"/>
        <v>0</v>
      </c>
      <c r="AF65" s="1">
        <v>168</v>
      </c>
      <c r="AG65" s="1">
        <v>168</v>
      </c>
    </row>
    <row r="66" spans="1:34" ht="30" hidden="1" outlineLevel="1" x14ac:dyDescent="0.25">
      <c r="A66" s="22">
        <v>4</v>
      </c>
      <c r="B66" s="37" t="s">
        <v>119</v>
      </c>
      <c r="C66" s="38" t="s">
        <v>113</v>
      </c>
      <c r="D66" s="37" t="s">
        <v>120</v>
      </c>
      <c r="E66" s="39">
        <v>317</v>
      </c>
      <c r="F66" s="8">
        <f t="shared" si="32"/>
        <v>174.2</v>
      </c>
      <c r="G66" s="41">
        <f t="shared" si="33"/>
        <v>174.2</v>
      </c>
      <c r="H66" s="41">
        <f t="shared" si="34"/>
        <v>0</v>
      </c>
      <c r="I66" s="40"/>
      <c r="J66" s="41">
        <v>111.1</v>
      </c>
      <c r="K66" s="41">
        <v>31.7</v>
      </c>
      <c r="L66" s="37" t="s">
        <v>120</v>
      </c>
      <c r="M66" s="4">
        <f t="shared" si="20"/>
        <v>100</v>
      </c>
      <c r="N66" s="10">
        <f t="shared" si="29"/>
        <v>54.952681388012614</v>
      </c>
      <c r="O66" s="10">
        <f t="shared" si="29"/>
        <v>0</v>
      </c>
      <c r="P66" s="10">
        <f t="shared" si="29"/>
        <v>0</v>
      </c>
      <c r="Q66" s="10">
        <f t="shared" si="29"/>
        <v>35.047318611987386</v>
      </c>
      <c r="R66" s="10">
        <f t="shared" si="29"/>
        <v>10</v>
      </c>
      <c r="AC66" s="1">
        <f t="shared" si="14"/>
        <v>0</v>
      </c>
      <c r="AF66" s="1">
        <v>174.2</v>
      </c>
      <c r="AG66" s="1">
        <v>174.2</v>
      </c>
    </row>
    <row r="67" spans="1:34" ht="45" hidden="1" outlineLevel="1" x14ac:dyDescent="0.25">
      <c r="A67" s="22">
        <v>5</v>
      </c>
      <c r="B67" s="37" t="s">
        <v>121</v>
      </c>
      <c r="C67" s="38" t="s">
        <v>113</v>
      </c>
      <c r="D67" s="37" t="s">
        <v>122</v>
      </c>
      <c r="E67" s="39">
        <v>272.89</v>
      </c>
      <c r="F67" s="8">
        <f t="shared" si="32"/>
        <v>218.31200000000001</v>
      </c>
      <c r="G67" s="41">
        <f t="shared" si="33"/>
        <v>218.31200000000001</v>
      </c>
      <c r="H67" s="41">
        <f t="shared" si="34"/>
        <v>0</v>
      </c>
      <c r="I67" s="20"/>
      <c r="J67" s="42">
        <v>27.289000000000001</v>
      </c>
      <c r="K67" s="41">
        <v>27.289000000000001</v>
      </c>
      <c r="L67" s="37" t="s">
        <v>122</v>
      </c>
      <c r="M67" s="4">
        <f t="shared" si="20"/>
        <v>100</v>
      </c>
      <c r="N67" s="10">
        <f t="shared" si="29"/>
        <v>80</v>
      </c>
      <c r="O67" s="10">
        <f t="shared" si="29"/>
        <v>0</v>
      </c>
      <c r="P67" s="10">
        <f t="shared" si="29"/>
        <v>0</v>
      </c>
      <c r="Q67" s="10">
        <f t="shared" si="29"/>
        <v>10</v>
      </c>
      <c r="R67" s="10">
        <f t="shared" si="29"/>
        <v>10</v>
      </c>
      <c r="AC67" s="1">
        <f t="shared" si="14"/>
        <v>0</v>
      </c>
      <c r="AF67" s="1">
        <v>218.31200000000001</v>
      </c>
      <c r="AG67" s="1">
        <v>218.31200000000001</v>
      </c>
    </row>
    <row r="68" spans="1:34" ht="30" hidden="1" outlineLevel="1" x14ac:dyDescent="0.25">
      <c r="A68" s="22">
        <v>6</v>
      </c>
      <c r="B68" s="37" t="s">
        <v>123</v>
      </c>
      <c r="C68" s="38" t="s">
        <v>113</v>
      </c>
      <c r="D68" s="37" t="s">
        <v>124</v>
      </c>
      <c r="E68" s="39">
        <v>339.60599999999999</v>
      </c>
      <c r="F68" s="8">
        <f t="shared" si="32"/>
        <v>271.6848</v>
      </c>
      <c r="G68" s="41">
        <f t="shared" si="33"/>
        <v>271.6848</v>
      </c>
      <c r="H68" s="41">
        <f t="shared" si="34"/>
        <v>0</v>
      </c>
      <c r="I68" s="20"/>
      <c r="J68" s="42">
        <v>33.960599999999999</v>
      </c>
      <c r="K68" s="41">
        <v>33.960599999999999</v>
      </c>
      <c r="L68" s="37" t="s">
        <v>124</v>
      </c>
      <c r="M68" s="4">
        <f t="shared" si="20"/>
        <v>100</v>
      </c>
      <c r="N68" s="10">
        <f t="shared" si="29"/>
        <v>80</v>
      </c>
      <c r="O68" s="10">
        <f t="shared" si="29"/>
        <v>0</v>
      </c>
      <c r="P68" s="10">
        <f t="shared" si="29"/>
        <v>0</v>
      </c>
      <c r="Q68" s="10">
        <f t="shared" si="29"/>
        <v>10</v>
      </c>
      <c r="R68" s="10">
        <f t="shared" si="29"/>
        <v>10</v>
      </c>
      <c r="AC68" s="1">
        <f t="shared" si="14"/>
        <v>0</v>
      </c>
      <c r="AF68" s="1">
        <v>271.6848</v>
      </c>
      <c r="AG68" s="1">
        <v>271.6848</v>
      </c>
    </row>
    <row r="69" spans="1:34" ht="30" hidden="1" outlineLevel="1" x14ac:dyDescent="0.25">
      <c r="A69" s="22">
        <v>7</v>
      </c>
      <c r="B69" s="37" t="s">
        <v>159</v>
      </c>
      <c r="C69" s="38" t="s">
        <v>113</v>
      </c>
      <c r="D69" s="37" t="s">
        <v>125</v>
      </c>
      <c r="E69" s="39">
        <v>129.67099999999999</v>
      </c>
      <c r="F69" s="8">
        <f t="shared" si="32"/>
        <v>103.7368</v>
      </c>
      <c r="G69" s="41">
        <f t="shared" si="33"/>
        <v>103.7368</v>
      </c>
      <c r="H69" s="41">
        <f t="shared" si="34"/>
        <v>0</v>
      </c>
      <c r="I69" s="20"/>
      <c r="J69" s="42">
        <v>12.9671</v>
      </c>
      <c r="K69" s="41">
        <v>12.9671</v>
      </c>
      <c r="L69" s="37" t="s">
        <v>125</v>
      </c>
      <c r="M69" s="4">
        <f t="shared" si="20"/>
        <v>100</v>
      </c>
      <c r="N69" s="10">
        <f t="shared" ref="N69:R80" si="35">+G69/$E69*100</f>
        <v>80</v>
      </c>
      <c r="O69" s="10">
        <f t="shared" si="35"/>
        <v>0</v>
      </c>
      <c r="P69" s="10">
        <f t="shared" si="35"/>
        <v>0</v>
      </c>
      <c r="Q69" s="10">
        <f t="shared" si="35"/>
        <v>10</v>
      </c>
      <c r="R69" s="10">
        <f t="shared" si="35"/>
        <v>10</v>
      </c>
      <c r="AC69" s="1">
        <f t="shared" si="14"/>
        <v>0</v>
      </c>
      <c r="AF69" s="1">
        <v>103.7368</v>
      </c>
      <c r="AG69" s="1">
        <v>103.7368</v>
      </c>
    </row>
    <row r="70" spans="1:34" ht="30" hidden="1" outlineLevel="1" x14ac:dyDescent="0.25">
      <c r="A70" s="22">
        <v>8</v>
      </c>
      <c r="B70" s="37" t="s">
        <v>126</v>
      </c>
      <c r="C70" s="38" t="s">
        <v>113</v>
      </c>
      <c r="D70" s="37" t="s">
        <v>127</v>
      </c>
      <c r="E70" s="39">
        <v>210</v>
      </c>
      <c r="F70" s="8">
        <f t="shared" si="32"/>
        <v>168</v>
      </c>
      <c r="G70" s="41">
        <f t="shared" si="33"/>
        <v>168</v>
      </c>
      <c r="H70" s="41">
        <f t="shared" si="34"/>
        <v>0</v>
      </c>
      <c r="I70" s="20"/>
      <c r="J70" s="42">
        <v>21</v>
      </c>
      <c r="K70" s="41">
        <v>21</v>
      </c>
      <c r="L70" s="37" t="s">
        <v>127</v>
      </c>
      <c r="M70" s="4">
        <f t="shared" si="20"/>
        <v>100</v>
      </c>
      <c r="N70" s="10">
        <f t="shared" si="35"/>
        <v>80</v>
      </c>
      <c r="O70" s="10">
        <f t="shared" si="35"/>
        <v>0</v>
      </c>
      <c r="P70" s="10">
        <f t="shared" si="35"/>
        <v>0</v>
      </c>
      <c r="Q70" s="10">
        <f t="shared" si="35"/>
        <v>10</v>
      </c>
      <c r="R70" s="10">
        <f t="shared" si="35"/>
        <v>10</v>
      </c>
      <c r="AC70" s="1">
        <f t="shared" si="14"/>
        <v>0</v>
      </c>
      <c r="AF70" s="1">
        <v>168</v>
      </c>
      <c r="AG70" s="1">
        <v>168</v>
      </c>
    </row>
    <row r="71" spans="1:34" ht="30" hidden="1" outlineLevel="1" x14ac:dyDescent="0.25">
      <c r="A71" s="22">
        <v>9</v>
      </c>
      <c r="B71" s="37" t="s">
        <v>128</v>
      </c>
      <c r="C71" s="38" t="s">
        <v>113</v>
      </c>
      <c r="D71" s="37" t="s">
        <v>129</v>
      </c>
      <c r="E71" s="39">
        <v>194</v>
      </c>
      <c r="F71" s="8">
        <f t="shared" si="32"/>
        <v>155.19999999999999</v>
      </c>
      <c r="G71" s="41">
        <f t="shared" si="33"/>
        <v>155.19999999999999</v>
      </c>
      <c r="H71" s="41">
        <f t="shared" si="34"/>
        <v>0</v>
      </c>
      <c r="I71" s="20"/>
      <c r="J71" s="42">
        <v>19.399999999999999</v>
      </c>
      <c r="K71" s="41">
        <v>19.399999999999999</v>
      </c>
      <c r="L71" s="37" t="s">
        <v>129</v>
      </c>
      <c r="M71" s="4">
        <f t="shared" si="20"/>
        <v>100</v>
      </c>
      <c r="N71" s="10">
        <f t="shared" si="35"/>
        <v>80</v>
      </c>
      <c r="O71" s="10">
        <f t="shared" si="35"/>
        <v>0</v>
      </c>
      <c r="P71" s="10">
        <f t="shared" si="35"/>
        <v>0</v>
      </c>
      <c r="Q71" s="10">
        <f t="shared" si="35"/>
        <v>10</v>
      </c>
      <c r="R71" s="10">
        <f t="shared" si="35"/>
        <v>10</v>
      </c>
      <c r="AC71" s="1">
        <f t="shared" si="14"/>
        <v>0</v>
      </c>
      <c r="AF71" s="1">
        <v>155.19999999999999</v>
      </c>
      <c r="AG71" s="1">
        <v>155.19999999999999</v>
      </c>
    </row>
    <row r="72" spans="1:34" ht="30" hidden="1" outlineLevel="1" x14ac:dyDescent="0.25">
      <c r="A72" s="22">
        <v>10</v>
      </c>
      <c r="B72" s="37" t="s">
        <v>130</v>
      </c>
      <c r="C72" s="38" t="s">
        <v>113</v>
      </c>
      <c r="D72" s="37" t="s">
        <v>129</v>
      </c>
      <c r="E72" s="39">
        <v>123</v>
      </c>
      <c r="F72" s="8">
        <f t="shared" si="32"/>
        <v>98.4</v>
      </c>
      <c r="G72" s="41">
        <f t="shared" si="33"/>
        <v>98.4</v>
      </c>
      <c r="H72" s="41">
        <f t="shared" si="34"/>
        <v>0</v>
      </c>
      <c r="I72" s="20"/>
      <c r="J72" s="42">
        <v>12.3</v>
      </c>
      <c r="K72" s="41">
        <v>12.3</v>
      </c>
      <c r="L72" s="37" t="s">
        <v>129</v>
      </c>
      <c r="M72" s="4">
        <f t="shared" si="20"/>
        <v>100</v>
      </c>
      <c r="N72" s="10">
        <f t="shared" si="35"/>
        <v>80</v>
      </c>
      <c r="O72" s="10">
        <f t="shared" si="35"/>
        <v>0</v>
      </c>
      <c r="P72" s="10">
        <f t="shared" si="35"/>
        <v>0</v>
      </c>
      <c r="Q72" s="10">
        <f t="shared" si="35"/>
        <v>10</v>
      </c>
      <c r="R72" s="10">
        <f t="shared" si="35"/>
        <v>10</v>
      </c>
      <c r="AC72" s="1">
        <f t="shared" si="14"/>
        <v>0</v>
      </c>
      <c r="AF72" s="1">
        <v>98.4</v>
      </c>
      <c r="AG72" s="1">
        <v>98.4</v>
      </c>
    </row>
    <row r="73" spans="1:34" ht="30" hidden="1" outlineLevel="1" x14ac:dyDescent="0.25">
      <c r="A73" s="22">
        <v>11</v>
      </c>
      <c r="B73" s="37" t="s">
        <v>131</v>
      </c>
      <c r="C73" s="38" t="s">
        <v>113</v>
      </c>
      <c r="D73" s="37" t="s">
        <v>132</v>
      </c>
      <c r="E73" s="39">
        <v>100</v>
      </c>
      <c r="F73" s="8">
        <f t="shared" si="32"/>
        <v>80</v>
      </c>
      <c r="G73" s="41">
        <f t="shared" si="33"/>
        <v>80</v>
      </c>
      <c r="H73" s="41">
        <f t="shared" si="34"/>
        <v>0</v>
      </c>
      <c r="I73" s="20"/>
      <c r="J73" s="42">
        <v>10</v>
      </c>
      <c r="K73" s="41">
        <v>10</v>
      </c>
      <c r="L73" s="37" t="s">
        <v>132</v>
      </c>
      <c r="M73" s="4">
        <f t="shared" si="20"/>
        <v>100</v>
      </c>
      <c r="N73" s="10">
        <f t="shared" si="35"/>
        <v>80</v>
      </c>
      <c r="O73" s="10">
        <f t="shared" si="35"/>
        <v>0</v>
      </c>
      <c r="P73" s="10">
        <f t="shared" si="35"/>
        <v>0</v>
      </c>
      <c r="Q73" s="10">
        <f t="shared" si="35"/>
        <v>10</v>
      </c>
      <c r="R73" s="10">
        <f t="shared" si="35"/>
        <v>10</v>
      </c>
      <c r="AC73" s="1">
        <f t="shared" si="14"/>
        <v>0</v>
      </c>
      <c r="AF73" s="1">
        <v>80</v>
      </c>
      <c r="AG73" s="1">
        <v>80</v>
      </c>
    </row>
    <row r="74" spans="1:34" ht="30" hidden="1" outlineLevel="1" x14ac:dyDescent="0.25">
      <c r="A74" s="22">
        <v>12</v>
      </c>
      <c r="B74" s="37" t="s">
        <v>133</v>
      </c>
      <c r="C74" s="38" t="s">
        <v>113</v>
      </c>
      <c r="D74" s="37" t="s">
        <v>132</v>
      </c>
      <c r="E74" s="39">
        <v>100</v>
      </c>
      <c r="F74" s="8">
        <f t="shared" si="32"/>
        <v>80</v>
      </c>
      <c r="G74" s="41">
        <f t="shared" si="33"/>
        <v>80</v>
      </c>
      <c r="H74" s="41">
        <f t="shared" si="34"/>
        <v>0</v>
      </c>
      <c r="I74" s="20"/>
      <c r="J74" s="42">
        <v>10</v>
      </c>
      <c r="K74" s="41">
        <v>10</v>
      </c>
      <c r="L74" s="37" t="s">
        <v>132</v>
      </c>
      <c r="M74" s="4">
        <f t="shared" si="20"/>
        <v>100</v>
      </c>
      <c r="N74" s="10">
        <f t="shared" si="35"/>
        <v>80</v>
      </c>
      <c r="O74" s="10">
        <f t="shared" si="35"/>
        <v>0</v>
      </c>
      <c r="P74" s="10">
        <f t="shared" si="35"/>
        <v>0</v>
      </c>
      <c r="Q74" s="10">
        <f t="shared" si="35"/>
        <v>10</v>
      </c>
      <c r="R74" s="10">
        <f t="shared" si="35"/>
        <v>10</v>
      </c>
      <c r="AC74" s="1">
        <f t="shared" si="14"/>
        <v>0</v>
      </c>
      <c r="AF74" s="1">
        <v>80</v>
      </c>
      <c r="AG74" s="1">
        <v>80</v>
      </c>
    </row>
    <row r="75" spans="1:34" s="45" customFormat="1" ht="55.5" hidden="1" customHeight="1" outlineLevel="1" x14ac:dyDescent="0.25">
      <c r="A75" s="22">
        <v>13</v>
      </c>
      <c r="B75" s="37" t="s">
        <v>134</v>
      </c>
      <c r="C75" s="38" t="s">
        <v>113</v>
      </c>
      <c r="D75" s="8" t="s">
        <v>135</v>
      </c>
      <c r="E75" s="39">
        <v>135</v>
      </c>
      <c r="F75" s="8">
        <f t="shared" si="32"/>
        <v>108</v>
      </c>
      <c r="G75" s="41">
        <f t="shared" si="33"/>
        <v>108</v>
      </c>
      <c r="H75" s="41">
        <f t="shared" si="34"/>
        <v>0</v>
      </c>
      <c r="I75" s="39"/>
      <c r="J75" s="39">
        <v>13.5</v>
      </c>
      <c r="K75" s="42">
        <v>13.5</v>
      </c>
      <c r="L75" s="8" t="s">
        <v>135</v>
      </c>
      <c r="M75" s="71">
        <f t="shared" si="20"/>
        <v>100</v>
      </c>
      <c r="N75" s="44">
        <f t="shared" si="35"/>
        <v>80</v>
      </c>
      <c r="O75" s="44">
        <f t="shared" si="35"/>
        <v>0</v>
      </c>
      <c r="P75" s="44">
        <f t="shared" si="35"/>
        <v>0</v>
      </c>
      <c r="Q75" s="44">
        <f t="shared" si="35"/>
        <v>10</v>
      </c>
      <c r="R75" s="44">
        <f t="shared" si="35"/>
        <v>10</v>
      </c>
      <c r="AC75" s="1">
        <f t="shared" si="14"/>
        <v>0</v>
      </c>
      <c r="AF75" s="45">
        <v>108</v>
      </c>
      <c r="AG75" s="45">
        <v>108</v>
      </c>
    </row>
    <row r="76" spans="1:34" ht="90" hidden="1" outlineLevel="1" x14ac:dyDescent="0.25">
      <c r="A76" s="22">
        <v>14</v>
      </c>
      <c r="B76" s="37" t="s">
        <v>136</v>
      </c>
      <c r="C76" s="38" t="s">
        <v>113</v>
      </c>
      <c r="D76" s="9" t="s">
        <v>137</v>
      </c>
      <c r="E76" s="39">
        <v>1251</v>
      </c>
      <c r="F76" s="8">
        <f t="shared" si="32"/>
        <v>332.66640000000001</v>
      </c>
      <c r="G76" s="41">
        <f t="shared" si="33"/>
        <v>332.66640000000001</v>
      </c>
      <c r="H76" s="41">
        <f t="shared" si="34"/>
        <v>0</v>
      </c>
      <c r="I76" s="39"/>
      <c r="J76" s="39">
        <v>793.23360000000002</v>
      </c>
      <c r="K76" s="46">
        <v>125.1</v>
      </c>
      <c r="L76" s="9" t="s">
        <v>137</v>
      </c>
      <c r="M76" s="4">
        <f t="shared" si="20"/>
        <v>100</v>
      </c>
      <c r="N76" s="10">
        <f t="shared" si="35"/>
        <v>26.592038369304554</v>
      </c>
      <c r="O76" s="10">
        <f t="shared" si="35"/>
        <v>0</v>
      </c>
      <c r="P76" s="10">
        <f t="shared" si="35"/>
        <v>0</v>
      </c>
      <c r="Q76" s="10">
        <f t="shared" si="35"/>
        <v>63.407961630695439</v>
      </c>
      <c r="R76" s="10">
        <f t="shared" si="35"/>
        <v>10</v>
      </c>
      <c r="AC76" s="1">
        <f t="shared" si="14"/>
        <v>0</v>
      </c>
      <c r="AF76" s="1">
        <v>332.66640000000001</v>
      </c>
      <c r="AG76" s="1">
        <v>332.66640000000001</v>
      </c>
    </row>
    <row r="77" spans="1:34" collapsed="1" x14ac:dyDescent="0.25">
      <c r="A77" s="20" t="s">
        <v>46</v>
      </c>
      <c r="B77" s="103" t="s">
        <v>47</v>
      </c>
      <c r="C77" s="41"/>
      <c r="D77" s="41"/>
      <c r="E77" s="41">
        <f>+SUM(E78:E80)</f>
        <v>3531.75</v>
      </c>
      <c r="F77" s="8">
        <f t="shared" si="32"/>
        <v>2676</v>
      </c>
      <c r="G77" s="41">
        <f t="shared" si="33"/>
        <v>2607</v>
      </c>
      <c r="H77" s="41">
        <f t="shared" si="34"/>
        <v>69</v>
      </c>
      <c r="I77" s="41">
        <f t="shared" ref="I77:K77" si="36">+SUM(I78:I80)</f>
        <v>0</v>
      </c>
      <c r="J77" s="41">
        <f t="shared" si="36"/>
        <v>891.875</v>
      </c>
      <c r="K77" s="41">
        <f t="shared" si="36"/>
        <v>352.875</v>
      </c>
      <c r="L77" s="41"/>
      <c r="M77" s="4">
        <f t="shared" si="20"/>
        <v>111.01436964677568</v>
      </c>
      <c r="N77" s="10">
        <f t="shared" si="35"/>
        <v>73.816096835846253</v>
      </c>
      <c r="O77" s="10">
        <f t="shared" si="35"/>
        <v>1.9537056699936293</v>
      </c>
      <c r="P77" s="10">
        <f t="shared" si="35"/>
        <v>0</v>
      </c>
      <c r="Q77" s="10">
        <f t="shared" si="35"/>
        <v>25.253061513414032</v>
      </c>
      <c r="R77" s="10">
        <f t="shared" si="35"/>
        <v>9.9915056275217662</v>
      </c>
      <c r="AC77" s="1">
        <f t="shared" si="14"/>
        <v>389</v>
      </c>
      <c r="AD77" s="1">
        <v>320</v>
      </c>
      <c r="AE77" s="1">
        <v>69</v>
      </c>
      <c r="AF77" s="1">
        <v>2287</v>
      </c>
      <c r="AG77" s="1">
        <v>2287</v>
      </c>
      <c r="AH77" s="1">
        <v>0</v>
      </c>
    </row>
    <row r="78" spans="1:34" ht="45" hidden="1" outlineLevel="1" x14ac:dyDescent="0.25">
      <c r="A78" s="22">
        <v>1</v>
      </c>
      <c r="B78" s="37" t="s">
        <v>138</v>
      </c>
      <c r="C78" s="38" t="s">
        <v>139</v>
      </c>
      <c r="D78" s="37" t="s">
        <v>140</v>
      </c>
      <c r="E78" s="30">
        <v>838.75</v>
      </c>
      <c r="F78" s="8">
        <f t="shared" si="32"/>
        <v>0</v>
      </c>
      <c r="G78" s="41">
        <f t="shared" si="33"/>
        <v>0</v>
      </c>
      <c r="H78" s="41">
        <f t="shared" si="34"/>
        <v>0</v>
      </c>
      <c r="I78" s="39"/>
      <c r="J78" s="39">
        <v>83.875</v>
      </c>
      <c r="K78" s="46">
        <v>83.875</v>
      </c>
      <c r="L78" s="37" t="s">
        <v>140</v>
      </c>
      <c r="M78" s="7">
        <f t="shared" si="20"/>
        <v>20</v>
      </c>
      <c r="N78" s="10">
        <f t="shared" si="35"/>
        <v>0</v>
      </c>
      <c r="O78" s="10">
        <f t="shared" si="35"/>
        <v>0</v>
      </c>
      <c r="P78" s="10">
        <f t="shared" si="35"/>
        <v>0</v>
      </c>
      <c r="Q78" s="10">
        <f t="shared" si="35"/>
        <v>10</v>
      </c>
      <c r="R78" s="10">
        <f t="shared" si="35"/>
        <v>10</v>
      </c>
      <c r="AC78" s="1">
        <f t="shared" si="14"/>
        <v>0</v>
      </c>
    </row>
    <row r="79" spans="1:34" ht="45" hidden="1" outlineLevel="1" x14ac:dyDescent="0.25">
      <c r="A79" s="22">
        <v>2</v>
      </c>
      <c r="B79" s="37" t="s">
        <v>141</v>
      </c>
      <c r="C79" s="38" t="s">
        <v>139</v>
      </c>
      <c r="D79" s="37"/>
      <c r="E79" s="30">
        <v>2193</v>
      </c>
      <c r="F79" s="8">
        <f t="shared" si="32"/>
        <v>0</v>
      </c>
      <c r="G79" s="41">
        <f t="shared" si="33"/>
        <v>0</v>
      </c>
      <c r="H79" s="41">
        <f t="shared" si="34"/>
        <v>0</v>
      </c>
      <c r="I79" s="39"/>
      <c r="J79" s="39">
        <v>658</v>
      </c>
      <c r="K79" s="46">
        <v>219</v>
      </c>
      <c r="L79" s="37"/>
      <c r="M79" s="7">
        <f t="shared" si="20"/>
        <v>39.990880072959413</v>
      </c>
      <c r="N79" s="10">
        <f t="shared" si="35"/>
        <v>0</v>
      </c>
      <c r="O79" s="10">
        <f t="shared" si="35"/>
        <v>0</v>
      </c>
      <c r="P79" s="10">
        <f t="shared" si="35"/>
        <v>0</v>
      </c>
      <c r="Q79" s="10">
        <f t="shared" si="35"/>
        <v>30.004559963520293</v>
      </c>
      <c r="R79" s="10">
        <f t="shared" si="35"/>
        <v>9.9863201094391236</v>
      </c>
      <c r="AC79" s="1">
        <f t="shared" si="14"/>
        <v>0</v>
      </c>
    </row>
    <row r="80" spans="1:34" ht="30" hidden="1" outlineLevel="1" x14ac:dyDescent="0.25">
      <c r="A80" s="22">
        <v>3</v>
      </c>
      <c r="B80" s="37" t="s">
        <v>142</v>
      </c>
      <c r="C80" s="38" t="s">
        <v>139</v>
      </c>
      <c r="D80" s="37"/>
      <c r="E80" s="30">
        <v>500</v>
      </c>
      <c r="F80" s="8">
        <f t="shared" si="32"/>
        <v>0</v>
      </c>
      <c r="G80" s="41">
        <f t="shared" si="33"/>
        <v>0</v>
      </c>
      <c r="H80" s="41">
        <f t="shared" si="34"/>
        <v>0</v>
      </c>
      <c r="I80" s="39"/>
      <c r="J80" s="39">
        <v>150</v>
      </c>
      <c r="K80" s="46">
        <v>50</v>
      </c>
      <c r="L80" s="37"/>
      <c r="M80" s="7">
        <f t="shared" si="20"/>
        <v>40</v>
      </c>
      <c r="N80" s="10">
        <f t="shared" si="35"/>
        <v>0</v>
      </c>
      <c r="O80" s="10">
        <f t="shared" si="35"/>
        <v>0</v>
      </c>
      <c r="P80" s="10">
        <f t="shared" si="35"/>
        <v>0</v>
      </c>
      <c r="Q80" s="10">
        <f t="shared" si="35"/>
        <v>30</v>
      </c>
      <c r="R80" s="10">
        <f t="shared" si="35"/>
        <v>10</v>
      </c>
      <c r="AC80" s="1">
        <f t="shared" si="14"/>
        <v>0</v>
      </c>
    </row>
    <row r="81" spans="1:31" hidden="1" outlineLevel="1" x14ac:dyDescent="0.25">
      <c r="F81" s="8">
        <f t="shared" si="32"/>
        <v>0</v>
      </c>
      <c r="G81" s="41">
        <f t="shared" si="33"/>
        <v>0</v>
      </c>
      <c r="H81" s="41">
        <f t="shared" si="34"/>
        <v>0</v>
      </c>
      <c r="AC81" s="1">
        <f t="shared" si="14"/>
        <v>0</v>
      </c>
    </row>
    <row r="82" spans="1:31" collapsed="1" x14ac:dyDescent="0.25">
      <c r="A82" s="23" t="s">
        <v>166</v>
      </c>
      <c r="B82" s="90" t="s">
        <v>53</v>
      </c>
      <c r="F82" s="8">
        <f t="shared" si="32"/>
        <v>994</v>
      </c>
      <c r="G82" s="41">
        <f t="shared" si="33"/>
        <v>891</v>
      </c>
      <c r="H82" s="41">
        <f t="shared" si="34"/>
        <v>103</v>
      </c>
      <c r="AC82" s="1">
        <f t="shared" si="14"/>
        <v>994</v>
      </c>
      <c r="AD82" s="1">
        <f>611+280</f>
        <v>891</v>
      </c>
      <c r="AE82" s="1">
        <v>103</v>
      </c>
    </row>
  </sheetData>
  <mergeCells count="16">
    <mergeCell ref="AC5:AE5"/>
    <mergeCell ref="AF5:AH5"/>
    <mergeCell ref="G3:L3"/>
    <mergeCell ref="A2:L2"/>
    <mergeCell ref="A5:A6"/>
    <mergeCell ref="B5:B6"/>
    <mergeCell ref="C5:C6"/>
    <mergeCell ref="D5:D6"/>
    <mergeCell ref="E5:E6"/>
    <mergeCell ref="F5:K5"/>
    <mergeCell ref="L5:L6"/>
    <mergeCell ref="B7:D7"/>
    <mergeCell ref="B8:D8"/>
    <mergeCell ref="B9:D9"/>
    <mergeCell ref="B16:D16"/>
    <mergeCell ref="B23:D23"/>
  </mergeCells>
  <pageMargins left="0.51181102362204722" right="0.19685039370078741" top="0.42" bottom="0.62" header="0.31496062992125984" footer="0.45"/>
  <pageSetup paperSize="9" scale="85"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opLeftCell="A3" workbookViewId="0">
      <selection activeCell="J5" sqref="J5"/>
    </sheetView>
  </sheetViews>
  <sheetFormatPr defaultRowHeight="15" x14ac:dyDescent="0.25"/>
  <cols>
    <col min="1" max="1" width="4.7109375" style="108" customWidth="1"/>
    <col min="2" max="2" width="26.140625" style="108" customWidth="1"/>
    <col min="3" max="3" width="14.42578125" style="108" customWidth="1"/>
    <col min="4" max="4" width="12.85546875" style="108" customWidth="1"/>
    <col min="5" max="5" width="9.85546875" style="108" customWidth="1"/>
    <col min="6" max="6" width="13.42578125" style="108" customWidth="1"/>
    <col min="7" max="7" width="11.7109375" style="108" customWidth="1"/>
    <col min="8" max="8" width="9.42578125" style="108" customWidth="1"/>
    <col min="9" max="9" width="14.7109375" style="108" customWidth="1"/>
    <col min="10" max="10" width="10.7109375" style="108" customWidth="1"/>
    <col min="11" max="11" width="7.28515625" style="108" customWidth="1"/>
    <col min="12" max="16384" width="9.140625" style="108"/>
  </cols>
  <sheetData>
    <row r="1" spans="1:11" hidden="1" x14ac:dyDescent="0.25"/>
    <row r="2" spans="1:11" hidden="1" x14ac:dyDescent="0.25"/>
    <row r="3" spans="1:11" ht="36" customHeight="1" x14ac:dyDescent="0.25">
      <c r="A3" s="180" t="s">
        <v>170</v>
      </c>
      <c r="B3" s="180"/>
      <c r="C3" s="180"/>
      <c r="D3" s="180"/>
      <c r="E3" s="180"/>
      <c r="F3" s="180"/>
      <c r="G3" s="180"/>
      <c r="H3" s="180"/>
      <c r="I3" s="180"/>
      <c r="J3" s="180"/>
      <c r="K3" s="180"/>
    </row>
    <row r="4" spans="1:11" ht="16.5" x14ac:dyDescent="0.25">
      <c r="A4" s="181" t="s">
        <v>175</v>
      </c>
      <c r="B4" s="181"/>
      <c r="C4" s="181"/>
      <c r="D4" s="181"/>
      <c r="E4" s="181"/>
      <c r="F4" s="181"/>
      <c r="G4" s="181"/>
      <c r="H4" s="181"/>
      <c r="I4" s="181"/>
      <c r="J4" s="181"/>
      <c r="K4" s="181"/>
    </row>
    <row r="5" spans="1:11" ht="16.5" x14ac:dyDescent="0.25">
      <c r="A5" s="111"/>
      <c r="B5" s="111"/>
      <c r="C5" s="111"/>
      <c r="D5" s="111"/>
      <c r="E5" s="111"/>
      <c r="F5" s="111"/>
      <c r="G5" s="111"/>
      <c r="H5" s="111"/>
      <c r="I5" s="111"/>
      <c r="J5" s="112" t="s">
        <v>178</v>
      </c>
      <c r="K5" s="113"/>
    </row>
    <row r="6" spans="1:11" ht="49.5" customHeight="1" x14ac:dyDescent="0.25">
      <c r="A6" s="182" t="s">
        <v>177</v>
      </c>
      <c r="B6" s="182" t="s">
        <v>161</v>
      </c>
      <c r="C6" s="182" t="s">
        <v>165</v>
      </c>
      <c r="D6" s="182"/>
      <c r="E6" s="182"/>
      <c r="F6" s="183" t="s">
        <v>18</v>
      </c>
      <c r="G6" s="184"/>
      <c r="H6" s="185"/>
      <c r="I6" s="183" t="s">
        <v>33</v>
      </c>
      <c r="J6" s="184"/>
      <c r="K6" s="185"/>
    </row>
    <row r="7" spans="1:11" ht="96" customHeight="1" x14ac:dyDescent="0.25">
      <c r="A7" s="182"/>
      <c r="B7" s="182"/>
      <c r="C7" s="114" t="s">
        <v>176</v>
      </c>
      <c r="D7" s="114" t="s">
        <v>171</v>
      </c>
      <c r="E7" s="114" t="s">
        <v>172</v>
      </c>
      <c r="F7" s="114" t="s">
        <v>176</v>
      </c>
      <c r="G7" s="114" t="s">
        <v>171</v>
      </c>
      <c r="H7" s="114" t="s">
        <v>172</v>
      </c>
      <c r="I7" s="114" t="s">
        <v>176</v>
      </c>
      <c r="J7" s="114" t="s">
        <v>171</v>
      </c>
      <c r="K7" s="114" t="s">
        <v>172</v>
      </c>
    </row>
    <row r="8" spans="1:11" ht="22.5" customHeight="1" x14ac:dyDescent="0.25">
      <c r="A8" s="114"/>
      <c r="B8" s="115" t="s">
        <v>167</v>
      </c>
      <c r="C8" s="154">
        <f>+SUM(C9:C17)</f>
        <v>21839</v>
      </c>
      <c r="D8" s="154">
        <f t="shared" ref="D8" si="0">+SUM(D9:D17)</f>
        <v>21086</v>
      </c>
      <c r="E8" s="154">
        <f t="shared" ref="E8:K8" si="1">+SUM(E9:E17)</f>
        <v>753</v>
      </c>
      <c r="F8" s="154">
        <f t="shared" si="1"/>
        <v>3543</v>
      </c>
      <c r="G8" s="154">
        <f t="shared" si="1"/>
        <v>2790</v>
      </c>
      <c r="H8" s="154">
        <f t="shared" si="1"/>
        <v>753</v>
      </c>
      <c r="I8" s="154">
        <f t="shared" si="1"/>
        <v>18296</v>
      </c>
      <c r="J8" s="154">
        <f t="shared" si="1"/>
        <v>18296</v>
      </c>
      <c r="K8" s="114">
        <f t="shared" si="1"/>
        <v>0</v>
      </c>
    </row>
    <row r="9" spans="1:11" ht="16.5" x14ac:dyDescent="0.25">
      <c r="A9" s="116">
        <v>1</v>
      </c>
      <c r="B9" s="117" t="s">
        <v>30</v>
      </c>
      <c r="C9" s="152">
        <f>+D9+E9</f>
        <v>3283.5</v>
      </c>
      <c r="D9" s="152">
        <f>+G9+I9</f>
        <v>2907.5</v>
      </c>
      <c r="E9" s="152">
        <f>+K9+H9</f>
        <v>376</v>
      </c>
      <c r="F9" s="152">
        <f>+G9+H9</f>
        <v>996.5</v>
      </c>
      <c r="G9" s="159">
        <f>+'Biểu 2_DTTS'!G17+'Biểu 2_DTTS'!G10</f>
        <v>620.5</v>
      </c>
      <c r="H9" s="152">
        <f>+'Biểu 2_DTTS'!H10+'Biểu 2_DTTS'!H17</f>
        <v>376</v>
      </c>
      <c r="I9" s="152">
        <f>+J9+K9</f>
        <v>2287</v>
      </c>
      <c r="J9" s="152">
        <v>2287</v>
      </c>
      <c r="K9" s="116">
        <v>0</v>
      </c>
    </row>
    <row r="10" spans="1:11" ht="16.5" x14ac:dyDescent="0.25">
      <c r="A10" s="116">
        <v>2</v>
      </c>
      <c r="B10" s="117" t="s">
        <v>28</v>
      </c>
      <c r="C10" s="152">
        <f t="shared" ref="C10:C17" si="2">+D10+E10</f>
        <v>2347</v>
      </c>
      <c r="D10" s="152">
        <f t="shared" ref="D10:D17" si="3">+G10+I10</f>
        <v>2327</v>
      </c>
      <c r="E10" s="152">
        <f t="shared" ref="E10:E17" si="4">+K10+H10</f>
        <v>20</v>
      </c>
      <c r="F10" s="152">
        <f t="shared" ref="F10:F17" si="5">+G10+H10</f>
        <v>60</v>
      </c>
      <c r="G10" s="152">
        <f>+'Biểu 2_DTTS'!G11+'Biểu 2_DTTS'!G18</f>
        <v>40</v>
      </c>
      <c r="H10" s="152">
        <f>+'Biểu 2_DTTS'!H11+'Biểu 2_DTTS'!H18</f>
        <v>20</v>
      </c>
      <c r="I10" s="152">
        <f t="shared" ref="I10:I17" si="6">+J10+K10</f>
        <v>2287</v>
      </c>
      <c r="J10" s="152">
        <v>2287</v>
      </c>
      <c r="K10" s="116">
        <v>0</v>
      </c>
    </row>
    <row r="11" spans="1:11" ht="16.5" x14ac:dyDescent="0.25">
      <c r="A11" s="116">
        <v>3</v>
      </c>
      <c r="B11" s="117" t="s">
        <v>36</v>
      </c>
      <c r="C11" s="152">
        <f t="shared" si="2"/>
        <v>2287</v>
      </c>
      <c r="D11" s="152">
        <f t="shared" si="3"/>
        <v>2287</v>
      </c>
      <c r="E11" s="152">
        <f t="shared" si="4"/>
        <v>0</v>
      </c>
      <c r="F11" s="152">
        <f t="shared" si="5"/>
        <v>0</v>
      </c>
      <c r="G11" s="152"/>
      <c r="H11" s="152"/>
      <c r="I11" s="152">
        <f t="shared" si="6"/>
        <v>2287</v>
      </c>
      <c r="J11" s="152">
        <v>2287</v>
      </c>
      <c r="K11" s="116">
        <v>0</v>
      </c>
    </row>
    <row r="12" spans="1:11" ht="16.5" x14ac:dyDescent="0.25">
      <c r="A12" s="116">
        <v>4</v>
      </c>
      <c r="B12" s="117" t="s">
        <v>38</v>
      </c>
      <c r="C12" s="152">
        <f t="shared" si="2"/>
        <v>2636.0000000000005</v>
      </c>
      <c r="D12" s="152">
        <f t="shared" si="3"/>
        <v>2567.0000000000005</v>
      </c>
      <c r="E12" s="152">
        <f t="shared" si="4"/>
        <v>69</v>
      </c>
      <c r="F12" s="152">
        <f t="shared" si="5"/>
        <v>349</v>
      </c>
      <c r="G12" s="152">
        <f>+'Biểu 2_DTTS'!G12+'Biểu 2_DTTS'!G19</f>
        <v>280</v>
      </c>
      <c r="H12" s="152">
        <f>+'Biểu 2_DTTS'!H12+'Biểu 2_DTTS'!H19</f>
        <v>69</v>
      </c>
      <c r="I12" s="152">
        <f t="shared" si="6"/>
        <v>2287.0000000000005</v>
      </c>
      <c r="J12" s="152">
        <v>2287.0000000000005</v>
      </c>
      <c r="K12" s="116">
        <v>0</v>
      </c>
    </row>
    <row r="13" spans="1:11" ht="16.5" x14ac:dyDescent="0.25">
      <c r="A13" s="116">
        <v>5</v>
      </c>
      <c r="B13" s="117" t="s">
        <v>22</v>
      </c>
      <c r="C13" s="152">
        <f t="shared" si="2"/>
        <v>3041.5</v>
      </c>
      <c r="D13" s="152">
        <f t="shared" si="3"/>
        <v>2925.5</v>
      </c>
      <c r="E13" s="152">
        <f t="shared" si="4"/>
        <v>116</v>
      </c>
      <c r="F13" s="152">
        <f t="shared" si="5"/>
        <v>754.5</v>
      </c>
      <c r="G13" s="152">
        <f>+'Biểu 2_DTTS'!G20+'Biểu 2_DTTS'!G13</f>
        <v>638.5</v>
      </c>
      <c r="H13" s="152">
        <f>+'Biểu 2_DTTS'!H20+'Biểu 2_DTTS'!H13</f>
        <v>116</v>
      </c>
      <c r="I13" s="152">
        <f t="shared" si="6"/>
        <v>2287</v>
      </c>
      <c r="J13" s="152">
        <v>2287</v>
      </c>
      <c r="K13" s="116">
        <v>0</v>
      </c>
    </row>
    <row r="14" spans="1:11" ht="16.5" x14ac:dyDescent="0.25">
      <c r="A14" s="116">
        <v>6</v>
      </c>
      <c r="B14" s="117" t="s">
        <v>41</v>
      </c>
      <c r="C14" s="152">
        <f t="shared" si="2"/>
        <v>2287</v>
      </c>
      <c r="D14" s="152">
        <f t="shared" si="3"/>
        <v>2287</v>
      </c>
      <c r="E14" s="152">
        <f t="shared" si="4"/>
        <v>0</v>
      </c>
      <c r="F14" s="152">
        <f t="shared" si="5"/>
        <v>0</v>
      </c>
      <c r="G14" s="152"/>
      <c r="H14" s="152"/>
      <c r="I14" s="152">
        <f t="shared" si="6"/>
        <v>2287</v>
      </c>
      <c r="J14" s="152">
        <v>2287</v>
      </c>
      <c r="K14" s="116">
        <v>0</v>
      </c>
    </row>
    <row r="15" spans="1:11" ht="16.5" x14ac:dyDescent="0.25">
      <c r="A15" s="116">
        <v>7</v>
      </c>
      <c r="B15" s="117" t="s">
        <v>45</v>
      </c>
      <c r="C15" s="152">
        <f t="shared" si="2"/>
        <v>2287</v>
      </c>
      <c r="D15" s="152">
        <f t="shared" si="3"/>
        <v>2287</v>
      </c>
      <c r="E15" s="152">
        <f t="shared" si="4"/>
        <v>0</v>
      </c>
      <c r="F15" s="152">
        <f t="shared" si="5"/>
        <v>0</v>
      </c>
      <c r="G15" s="152"/>
      <c r="H15" s="152"/>
      <c r="I15" s="152">
        <f t="shared" si="6"/>
        <v>2287</v>
      </c>
      <c r="J15" s="152">
        <v>2287</v>
      </c>
      <c r="K15" s="116">
        <v>0</v>
      </c>
    </row>
    <row r="16" spans="1:11" ht="16.5" x14ac:dyDescent="0.25">
      <c r="A16" s="116">
        <v>8</v>
      </c>
      <c r="B16" s="117" t="s">
        <v>47</v>
      </c>
      <c r="C16" s="152">
        <f t="shared" si="2"/>
        <v>2676</v>
      </c>
      <c r="D16" s="152">
        <f t="shared" si="3"/>
        <v>2607</v>
      </c>
      <c r="E16" s="152">
        <f t="shared" si="4"/>
        <v>69</v>
      </c>
      <c r="F16" s="152">
        <f t="shared" si="5"/>
        <v>389</v>
      </c>
      <c r="G16" s="152">
        <f>+'Biểu 2_DTTS'!G14+'Biểu 2_DTTS'!G21</f>
        <v>320</v>
      </c>
      <c r="H16" s="159">
        <v>69</v>
      </c>
      <c r="I16" s="152">
        <f t="shared" si="6"/>
        <v>2287</v>
      </c>
      <c r="J16" s="152">
        <v>2287</v>
      </c>
      <c r="K16" s="116">
        <v>0</v>
      </c>
    </row>
    <row r="17" spans="1:11" ht="17.25" customHeight="1" x14ac:dyDescent="0.25">
      <c r="A17" s="116">
        <v>9</v>
      </c>
      <c r="B17" s="117" t="s">
        <v>53</v>
      </c>
      <c r="C17" s="152">
        <f t="shared" si="2"/>
        <v>994</v>
      </c>
      <c r="D17" s="152">
        <f t="shared" si="3"/>
        <v>891</v>
      </c>
      <c r="E17" s="152">
        <f t="shared" si="4"/>
        <v>103</v>
      </c>
      <c r="F17" s="152">
        <f t="shared" si="5"/>
        <v>994</v>
      </c>
      <c r="G17" s="152">
        <f>+'Biểu 2_DTTS'!G22+'Biểu 2_DTTS'!G15</f>
        <v>891</v>
      </c>
      <c r="H17" s="152">
        <f>+'Biểu 2_DTTS'!H22+'Biểu 2_DTTS'!H15</f>
        <v>103</v>
      </c>
      <c r="I17" s="152">
        <f t="shared" si="6"/>
        <v>0</v>
      </c>
      <c r="J17" s="152"/>
      <c r="K17" s="116"/>
    </row>
  </sheetData>
  <mergeCells count="7">
    <mergeCell ref="A3:K3"/>
    <mergeCell ref="A4:K4"/>
    <mergeCell ref="A6:A7"/>
    <mergeCell ref="B6:B7"/>
    <mergeCell ref="C6:E6"/>
    <mergeCell ref="F6:H6"/>
    <mergeCell ref="I6:K6"/>
  </mergeCells>
  <pageMargins left="0.70866141732283505" right="0.33" top="0.63" bottom="0.74803149606299202" header="0.62" footer="0.31496062992126"/>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2"/>
  <sheetViews>
    <sheetView zoomScale="85" zoomScaleNormal="85" workbookViewId="0">
      <pane xSplit="4" ySplit="6" topLeftCell="E7" activePane="bottomRight" state="frozen"/>
      <selection pane="topRight" activeCell="E1" sqref="E1"/>
      <selection pane="bottomLeft" activeCell="A6" sqref="A6"/>
      <selection pane="bottomRight" activeCell="G4" sqref="G4:L4"/>
    </sheetView>
  </sheetViews>
  <sheetFormatPr defaultRowHeight="15" outlineLevelRow="1" x14ac:dyDescent="0.25"/>
  <cols>
    <col min="1" max="1" width="5.140625" style="23" customWidth="1"/>
    <col min="2" max="2" width="63.140625" style="90" customWidth="1"/>
    <col min="3" max="3" width="7.7109375" style="1" hidden="1" customWidth="1"/>
    <col min="4" max="4" width="55.140625" style="1" hidden="1" customWidth="1"/>
    <col min="5" max="5" width="14.7109375" style="104" hidden="1" customWidth="1"/>
    <col min="6" max="6" width="18.85546875" style="24" customWidth="1"/>
    <col min="7" max="7" width="22.140625" style="24" customWidth="1"/>
    <col min="8" max="8" width="17" style="24" customWidth="1"/>
    <col min="9" max="9" width="7.5703125" style="24" hidden="1" customWidth="1"/>
    <col min="10" max="10" width="8.85546875" style="24" hidden="1" customWidth="1"/>
    <col min="11" max="11" width="9" style="24" hidden="1" customWidth="1"/>
    <col min="12" max="12" width="59.85546875" style="1" hidden="1" customWidth="1"/>
    <col min="13" max="13" width="8.5703125" style="1" hidden="1" customWidth="1"/>
    <col min="14" max="19" width="0" style="1" hidden="1" customWidth="1"/>
    <col min="20" max="20" width="20.140625" style="1" customWidth="1"/>
    <col min="21" max="21" width="9.5703125" style="1" hidden="1" customWidth="1"/>
    <col min="22" max="22" width="10.42578125" style="1" hidden="1" customWidth="1"/>
    <col min="23" max="23" width="10.5703125" style="1" hidden="1" customWidth="1"/>
    <col min="24" max="24" width="9.7109375" style="1" hidden="1" customWidth="1"/>
    <col min="25" max="28" width="0" style="1" hidden="1" customWidth="1"/>
    <col min="29" max="16384" width="9.140625" style="1"/>
  </cols>
  <sheetData>
    <row r="1" spans="1:25" ht="14.25" hidden="1" customHeight="1" x14ac:dyDescent="0.25"/>
    <row r="2" spans="1:25" s="14" customFormat="1" ht="39.75" customHeight="1" x14ac:dyDescent="0.25">
      <c r="A2" s="180" t="s">
        <v>164</v>
      </c>
      <c r="B2" s="180"/>
      <c r="C2" s="180"/>
      <c r="D2" s="180"/>
      <c r="E2" s="180"/>
      <c r="F2" s="180"/>
      <c r="G2" s="180"/>
      <c r="H2" s="180"/>
      <c r="I2" s="180"/>
      <c r="J2" s="180"/>
      <c r="K2" s="180"/>
      <c r="L2" s="180"/>
    </row>
    <row r="3" spans="1:25" s="14" customFormat="1" ht="16.5" x14ac:dyDescent="0.25">
      <c r="A3" s="181" t="str">
        <f>+'Biểu 1_TH'!A4:K4</f>
        <v>(Kèm theo Nghị quyết số           /NQ-HĐND ngày     /10/2022 của HĐND Thành phố)</v>
      </c>
      <c r="B3" s="181"/>
      <c r="C3" s="181"/>
      <c r="D3" s="181"/>
      <c r="E3" s="181"/>
      <c r="F3" s="181"/>
      <c r="G3" s="181"/>
      <c r="H3" s="181"/>
      <c r="I3" s="111"/>
      <c r="J3" s="111"/>
      <c r="K3" s="111"/>
      <c r="L3" s="111"/>
    </row>
    <row r="4" spans="1:25" ht="24" customHeight="1" x14ac:dyDescent="0.25">
      <c r="A4" s="129"/>
      <c r="B4" s="119"/>
      <c r="C4" s="118"/>
      <c r="D4" s="118"/>
      <c r="E4" s="120"/>
      <c r="F4" s="121"/>
      <c r="G4" s="186" t="s">
        <v>178</v>
      </c>
      <c r="H4" s="186"/>
      <c r="I4" s="186"/>
      <c r="J4" s="186"/>
      <c r="K4" s="186"/>
      <c r="L4" s="186"/>
    </row>
    <row r="5" spans="1:25" ht="29.25" customHeight="1" x14ac:dyDescent="0.25">
      <c r="A5" s="182" t="s">
        <v>2</v>
      </c>
      <c r="B5" s="182" t="s">
        <v>161</v>
      </c>
      <c r="C5" s="182" t="s">
        <v>4</v>
      </c>
      <c r="D5" s="182" t="s">
        <v>5</v>
      </c>
      <c r="E5" s="182" t="s">
        <v>6</v>
      </c>
      <c r="F5" s="182" t="s">
        <v>9</v>
      </c>
      <c r="G5" s="182" t="s">
        <v>48</v>
      </c>
      <c r="H5" s="182"/>
      <c r="I5" s="182" t="s">
        <v>9</v>
      </c>
      <c r="J5" s="182" t="s">
        <v>48</v>
      </c>
      <c r="K5" s="182"/>
      <c r="L5" s="182" t="s">
        <v>8</v>
      </c>
    </row>
    <row r="6" spans="1:25" ht="33" customHeight="1" x14ac:dyDescent="0.25">
      <c r="A6" s="182"/>
      <c r="B6" s="182"/>
      <c r="C6" s="182"/>
      <c r="D6" s="182"/>
      <c r="E6" s="182"/>
      <c r="F6" s="182"/>
      <c r="G6" s="114" t="s">
        <v>171</v>
      </c>
      <c r="H6" s="114" t="s">
        <v>172</v>
      </c>
      <c r="I6" s="182"/>
      <c r="J6" s="114" t="s">
        <v>10</v>
      </c>
      <c r="K6" s="114" t="s">
        <v>11</v>
      </c>
      <c r="L6" s="182"/>
    </row>
    <row r="7" spans="1:25" ht="10.5" hidden="1" customHeight="1" x14ac:dyDescent="0.25">
      <c r="A7" s="114"/>
      <c r="B7" s="187" t="s">
        <v>49</v>
      </c>
      <c r="C7" s="187"/>
      <c r="D7" s="187"/>
      <c r="E7" s="114">
        <f t="shared" ref="E7:K7" si="0">+E8+E23</f>
        <v>28787.838960666668</v>
      </c>
      <c r="F7" s="114">
        <f>+G7+H7</f>
        <v>21839</v>
      </c>
      <c r="G7" s="114">
        <f t="shared" si="0"/>
        <v>21086</v>
      </c>
      <c r="H7" s="114">
        <f t="shared" si="0"/>
        <v>753</v>
      </c>
      <c r="I7" s="114">
        <f t="shared" si="0"/>
        <v>0</v>
      </c>
      <c r="J7" s="114">
        <f t="shared" si="0"/>
        <v>4490.1445939999994</v>
      </c>
      <c r="K7" s="114">
        <f t="shared" si="0"/>
        <v>2466.149477777778</v>
      </c>
      <c r="L7" s="122" t="s">
        <v>16</v>
      </c>
      <c r="V7" s="25">
        <f>+G7-'[2]21-25'!D6</f>
        <v>0</v>
      </c>
      <c r="W7" s="4">
        <f>+H7-'[2]21-25'!G6</f>
        <v>0</v>
      </c>
    </row>
    <row r="8" spans="1:25" ht="21" customHeight="1" x14ac:dyDescent="0.25">
      <c r="A8" s="114"/>
      <c r="B8" s="187" t="s">
        <v>167</v>
      </c>
      <c r="C8" s="187"/>
      <c r="D8" s="187"/>
      <c r="E8" s="114">
        <f>+E9+E16</f>
        <v>3543</v>
      </c>
      <c r="F8" s="114">
        <f t="shared" ref="F8:F71" si="1">+G8+H8</f>
        <v>3543</v>
      </c>
      <c r="G8" s="114">
        <f t="shared" ref="G8" si="2">+G9+G16</f>
        <v>2790</v>
      </c>
      <c r="H8" s="114">
        <f>+H9+H16</f>
        <v>753</v>
      </c>
      <c r="I8" s="114">
        <f>+I9+I16</f>
        <v>0</v>
      </c>
      <c r="J8" s="114">
        <f t="shared" ref="J8:K8" si="3">+J9+J16</f>
        <v>0</v>
      </c>
      <c r="K8" s="114">
        <f t="shared" si="3"/>
        <v>0</v>
      </c>
      <c r="L8" s="123"/>
    </row>
    <row r="9" spans="1:25" s="6" customFormat="1" ht="33.75" customHeight="1" x14ac:dyDescent="0.25">
      <c r="A9" s="114" t="s">
        <v>19</v>
      </c>
      <c r="B9" s="187" t="s">
        <v>20</v>
      </c>
      <c r="C9" s="187"/>
      <c r="D9" s="187"/>
      <c r="E9" s="114">
        <f>+SUM(E10:E15)</f>
        <v>2103</v>
      </c>
      <c r="F9" s="114">
        <f>+G9+H9</f>
        <v>2103</v>
      </c>
      <c r="G9" s="124">
        <f>+SUM(G10:G15)</f>
        <v>1805</v>
      </c>
      <c r="H9" s="114">
        <f>+SUM(H10:H15)</f>
        <v>298</v>
      </c>
      <c r="I9" s="114"/>
      <c r="J9" s="114"/>
      <c r="K9" s="114"/>
      <c r="L9" s="114" t="s">
        <v>160</v>
      </c>
      <c r="U9" s="7">
        <f>SUM(H10:H15)-H9</f>
        <v>0</v>
      </c>
      <c r="V9" s="7"/>
      <c r="Y9" s="7">
        <f>H9-X9</f>
        <v>298</v>
      </c>
    </row>
    <row r="10" spans="1:25" ht="21" customHeight="1" x14ac:dyDescent="0.25">
      <c r="A10" s="116">
        <v>1</v>
      </c>
      <c r="B10" s="125" t="s">
        <v>30</v>
      </c>
      <c r="C10" s="116"/>
      <c r="D10" s="116"/>
      <c r="E10" s="114">
        <v>448.5</v>
      </c>
      <c r="F10" s="116">
        <f>+G10+H10</f>
        <v>448.5</v>
      </c>
      <c r="G10" s="116">
        <v>246.5</v>
      </c>
      <c r="H10" s="116">
        <v>202</v>
      </c>
      <c r="I10" s="116"/>
      <c r="J10" s="116"/>
      <c r="K10" s="116"/>
      <c r="L10" s="116" t="s">
        <v>146</v>
      </c>
      <c r="U10" s="25">
        <f>SUM(H10:H15)-H9</f>
        <v>0</v>
      </c>
      <c r="V10" s="26"/>
    </row>
    <row r="11" spans="1:25" s="45" customFormat="1" ht="21" customHeight="1" x14ac:dyDescent="0.25">
      <c r="A11" s="127">
        <v>2</v>
      </c>
      <c r="B11" s="126" t="s">
        <v>28</v>
      </c>
      <c r="C11" s="127"/>
      <c r="D11" s="127"/>
      <c r="E11" s="128">
        <v>40</v>
      </c>
      <c r="F11" s="116">
        <f t="shared" ref="F11:F15" si="4">+G11+H11</f>
        <v>40</v>
      </c>
      <c r="G11" s="127">
        <v>40</v>
      </c>
      <c r="H11" s="127"/>
      <c r="I11" s="127"/>
      <c r="J11" s="127"/>
      <c r="K11" s="127"/>
      <c r="L11" s="127" t="s">
        <v>145</v>
      </c>
      <c r="V11" s="63"/>
      <c r="W11" s="64"/>
      <c r="X11" s="64"/>
    </row>
    <row r="12" spans="1:25" ht="21" customHeight="1" x14ac:dyDescent="0.25">
      <c r="A12" s="116">
        <v>3</v>
      </c>
      <c r="B12" s="125" t="s">
        <v>38</v>
      </c>
      <c r="C12" s="116"/>
      <c r="D12" s="127"/>
      <c r="E12" s="114">
        <v>280</v>
      </c>
      <c r="F12" s="116">
        <f t="shared" si="4"/>
        <v>280</v>
      </c>
      <c r="G12" s="116">
        <v>280</v>
      </c>
      <c r="H12" s="116"/>
      <c r="I12" s="116"/>
      <c r="J12" s="116"/>
      <c r="K12" s="116"/>
      <c r="L12" s="127" t="s">
        <v>50</v>
      </c>
      <c r="V12" s="26">
        <f>SUM(H12:H15)</f>
        <v>96</v>
      </c>
      <c r="W12" s="1">
        <f>25*22.5</f>
        <v>562.5</v>
      </c>
      <c r="X12" s="1">
        <f>W12-403</f>
        <v>159.5</v>
      </c>
    </row>
    <row r="13" spans="1:25" ht="21" customHeight="1" x14ac:dyDescent="0.25">
      <c r="A13" s="116">
        <v>4</v>
      </c>
      <c r="B13" s="125" t="s">
        <v>22</v>
      </c>
      <c r="C13" s="116"/>
      <c r="D13" s="127"/>
      <c r="E13" s="114">
        <v>734.5</v>
      </c>
      <c r="F13" s="116">
        <f t="shared" si="4"/>
        <v>734.5</v>
      </c>
      <c r="G13" s="116">
        <v>638.5</v>
      </c>
      <c r="H13" s="116">
        <v>96</v>
      </c>
      <c r="I13" s="116"/>
      <c r="J13" s="116"/>
      <c r="K13" s="116"/>
      <c r="L13" s="127" t="s">
        <v>51</v>
      </c>
      <c r="V13" s="26"/>
    </row>
    <row r="14" spans="1:25" ht="21" customHeight="1" x14ac:dyDescent="0.25">
      <c r="A14" s="116">
        <v>5</v>
      </c>
      <c r="B14" s="125" t="s">
        <v>47</v>
      </c>
      <c r="C14" s="116"/>
      <c r="D14" s="127"/>
      <c r="E14" s="114">
        <v>320</v>
      </c>
      <c r="F14" s="116">
        <f t="shared" si="4"/>
        <v>320</v>
      </c>
      <c r="G14" s="116">
        <v>320</v>
      </c>
      <c r="H14" s="116"/>
      <c r="I14" s="116"/>
      <c r="J14" s="116"/>
      <c r="K14" s="116"/>
      <c r="L14" s="127" t="s">
        <v>52</v>
      </c>
      <c r="V14" s="26"/>
    </row>
    <row r="15" spans="1:25" ht="21" customHeight="1" x14ac:dyDescent="0.25">
      <c r="A15" s="116">
        <v>6</v>
      </c>
      <c r="B15" s="125" t="s">
        <v>53</v>
      </c>
      <c r="C15" s="116"/>
      <c r="D15" s="127"/>
      <c r="E15" s="114">
        <v>280</v>
      </c>
      <c r="F15" s="116">
        <f t="shared" si="4"/>
        <v>280</v>
      </c>
      <c r="G15" s="116">
        <v>280</v>
      </c>
      <c r="H15" s="116"/>
      <c r="I15" s="116"/>
      <c r="J15" s="116"/>
      <c r="K15" s="116"/>
      <c r="L15" s="127" t="s">
        <v>52</v>
      </c>
      <c r="V15" s="26"/>
    </row>
    <row r="16" spans="1:25" s="6" customFormat="1" ht="36" customHeight="1" x14ac:dyDescent="0.25">
      <c r="A16" s="114" t="s">
        <v>25</v>
      </c>
      <c r="B16" s="187" t="s">
        <v>26</v>
      </c>
      <c r="C16" s="187"/>
      <c r="D16" s="187"/>
      <c r="E16" s="114">
        <f>+SUM(E17:E22)</f>
        <v>1440</v>
      </c>
      <c r="F16" s="114">
        <f t="shared" si="1"/>
        <v>1440</v>
      </c>
      <c r="G16" s="114">
        <f>+SUM(G17:G22)</f>
        <v>985</v>
      </c>
      <c r="H16" s="114">
        <f>+SUM(H17:H22)</f>
        <v>455</v>
      </c>
      <c r="I16" s="114"/>
      <c r="J16" s="114"/>
      <c r="K16" s="114"/>
      <c r="L16" s="114" t="s">
        <v>27</v>
      </c>
    </row>
    <row r="17" spans="1:18" ht="23.25" customHeight="1" x14ac:dyDescent="0.25">
      <c r="A17" s="116">
        <v>1</v>
      </c>
      <c r="B17" s="125" t="s">
        <v>30</v>
      </c>
      <c r="C17" s="116"/>
      <c r="D17" s="116"/>
      <c r="E17" s="114">
        <v>548</v>
      </c>
      <c r="F17" s="116">
        <f>+G17+H17</f>
        <v>548</v>
      </c>
      <c r="G17" s="116">
        <v>374</v>
      </c>
      <c r="H17" s="116">
        <v>174</v>
      </c>
      <c r="I17" s="116"/>
      <c r="J17" s="116"/>
      <c r="K17" s="116"/>
      <c r="L17" s="116" t="s">
        <v>29</v>
      </c>
    </row>
    <row r="18" spans="1:18" ht="23.25" customHeight="1" x14ac:dyDescent="0.25">
      <c r="A18" s="116">
        <v>2</v>
      </c>
      <c r="B18" s="125" t="s">
        <v>28</v>
      </c>
      <c r="C18" s="116"/>
      <c r="D18" s="116"/>
      <c r="E18" s="114">
        <v>20</v>
      </c>
      <c r="F18" s="116">
        <f t="shared" ref="F18:F22" si="5">+G18+H18</f>
        <v>20</v>
      </c>
      <c r="G18" s="116"/>
      <c r="H18" s="116">
        <v>20</v>
      </c>
      <c r="I18" s="116"/>
      <c r="J18" s="116"/>
      <c r="K18" s="116"/>
      <c r="L18" s="116" t="s">
        <v>29</v>
      </c>
    </row>
    <row r="19" spans="1:18" ht="23.25" customHeight="1" x14ac:dyDescent="0.25">
      <c r="A19" s="116">
        <v>3</v>
      </c>
      <c r="B19" s="125" t="s">
        <v>38</v>
      </c>
      <c r="C19" s="116"/>
      <c r="D19" s="116"/>
      <c r="E19" s="114">
        <v>69</v>
      </c>
      <c r="F19" s="116">
        <f t="shared" si="5"/>
        <v>69</v>
      </c>
      <c r="G19" s="116"/>
      <c r="H19" s="116">
        <v>69</v>
      </c>
      <c r="I19" s="116"/>
      <c r="J19" s="116"/>
      <c r="K19" s="116"/>
      <c r="L19" s="116" t="s">
        <v>54</v>
      </c>
    </row>
    <row r="20" spans="1:18" ht="23.25" customHeight="1" x14ac:dyDescent="0.25">
      <c r="A20" s="116">
        <v>4</v>
      </c>
      <c r="B20" s="125" t="s">
        <v>22</v>
      </c>
      <c r="C20" s="116"/>
      <c r="D20" s="116"/>
      <c r="E20" s="114">
        <v>20</v>
      </c>
      <c r="F20" s="116">
        <f t="shared" si="5"/>
        <v>20</v>
      </c>
      <c r="G20" s="116"/>
      <c r="H20" s="116">
        <v>20</v>
      </c>
      <c r="I20" s="116"/>
      <c r="J20" s="116"/>
      <c r="K20" s="116"/>
      <c r="L20" s="116" t="s">
        <v>55</v>
      </c>
    </row>
    <row r="21" spans="1:18" ht="23.25" customHeight="1" x14ac:dyDescent="0.25">
      <c r="A21" s="116">
        <v>5</v>
      </c>
      <c r="B21" s="125" t="s">
        <v>47</v>
      </c>
      <c r="C21" s="116"/>
      <c r="D21" s="116"/>
      <c r="E21" s="114">
        <v>69</v>
      </c>
      <c r="F21" s="116">
        <f t="shared" si="5"/>
        <v>69</v>
      </c>
      <c r="G21" s="116"/>
      <c r="H21" s="116">
        <v>69</v>
      </c>
      <c r="I21" s="116"/>
      <c r="J21" s="116"/>
      <c r="K21" s="116"/>
      <c r="L21" s="116" t="s">
        <v>56</v>
      </c>
    </row>
    <row r="22" spans="1:18" ht="23.25" customHeight="1" x14ac:dyDescent="0.25">
      <c r="A22" s="116">
        <v>6</v>
      </c>
      <c r="B22" s="125" t="s">
        <v>53</v>
      </c>
      <c r="C22" s="116"/>
      <c r="D22" s="116"/>
      <c r="E22" s="114">
        <v>714</v>
      </c>
      <c r="F22" s="116">
        <f t="shared" si="5"/>
        <v>714</v>
      </c>
      <c r="G22" s="116">
        <v>611</v>
      </c>
      <c r="H22" s="116">
        <v>103</v>
      </c>
      <c r="I22" s="116"/>
      <c r="J22" s="116"/>
      <c r="K22" s="116"/>
      <c r="L22" s="116" t="s">
        <v>56</v>
      </c>
    </row>
    <row r="23" spans="1:18" ht="35.25" hidden="1" customHeight="1" x14ac:dyDescent="0.25">
      <c r="A23" s="110" t="s">
        <v>32</v>
      </c>
      <c r="B23" s="171" t="s">
        <v>33</v>
      </c>
      <c r="C23" s="172"/>
      <c r="D23" s="173"/>
      <c r="E23" s="98">
        <f t="shared" ref="E23:K23" si="6">+E24+E29+E35+E40+E47+E52+E62+E77</f>
        <v>25244.838960666668</v>
      </c>
      <c r="F23" s="98">
        <f t="shared" si="1"/>
        <v>18296</v>
      </c>
      <c r="G23" s="98">
        <f t="shared" si="6"/>
        <v>18296</v>
      </c>
      <c r="H23" s="98">
        <f t="shared" si="6"/>
        <v>0</v>
      </c>
      <c r="I23" s="98">
        <f t="shared" si="6"/>
        <v>0</v>
      </c>
      <c r="J23" s="98">
        <f t="shared" si="6"/>
        <v>4490.1445939999994</v>
      </c>
      <c r="K23" s="98">
        <f t="shared" si="6"/>
        <v>2466.149477777778</v>
      </c>
      <c r="L23" s="98" t="s">
        <v>34</v>
      </c>
      <c r="M23" s="7">
        <f t="shared" ref="M23:M34" si="7">+N23+O23+P23+Q23+R23</f>
        <v>100.02953122863143</v>
      </c>
      <c r="N23" s="10">
        <f t="shared" ref="N23:R38" si="8">+G23/$E23*100</f>
        <v>72.474219496929749</v>
      </c>
      <c r="O23" s="10">
        <f t="shared" si="8"/>
        <v>0</v>
      </c>
      <c r="P23" s="10">
        <f t="shared" si="8"/>
        <v>0</v>
      </c>
      <c r="Q23" s="10">
        <f t="shared" si="8"/>
        <v>17.786386361964826</v>
      </c>
      <c r="R23" s="10">
        <f t="shared" si="8"/>
        <v>9.7689253697368468</v>
      </c>
    </row>
    <row r="24" spans="1:18" ht="23.25" hidden="1" customHeight="1" x14ac:dyDescent="0.25">
      <c r="A24" s="20" t="s">
        <v>19</v>
      </c>
      <c r="B24" s="102" t="s">
        <v>30</v>
      </c>
      <c r="C24" s="41"/>
      <c r="D24" s="41"/>
      <c r="E24" s="41">
        <f>+SUM(E25:E28)</f>
        <v>2795.2222222222217</v>
      </c>
      <c r="F24" s="8">
        <f t="shared" si="1"/>
        <v>2287</v>
      </c>
      <c r="G24" s="41">
        <f t="shared" ref="G24:K24" si="9">+SUM(G25:G28)</f>
        <v>2287</v>
      </c>
      <c r="H24" s="41">
        <f t="shared" si="9"/>
        <v>0</v>
      </c>
      <c r="I24" s="41">
        <f t="shared" si="9"/>
        <v>0</v>
      </c>
      <c r="J24" s="41">
        <f t="shared" si="9"/>
        <v>228.7</v>
      </c>
      <c r="K24" s="41">
        <f t="shared" si="9"/>
        <v>279.52222222222224</v>
      </c>
      <c r="L24" s="5"/>
      <c r="M24" s="4">
        <f t="shared" si="7"/>
        <v>100.00000000000003</v>
      </c>
      <c r="N24" s="10">
        <f t="shared" si="8"/>
        <v>81.818181818181841</v>
      </c>
      <c r="O24" s="10">
        <f t="shared" si="8"/>
        <v>0</v>
      </c>
      <c r="P24" s="10">
        <f t="shared" si="8"/>
        <v>0</v>
      </c>
      <c r="Q24" s="10">
        <f t="shared" si="8"/>
        <v>8.1818181818181834</v>
      </c>
      <c r="R24" s="10">
        <f t="shared" si="8"/>
        <v>10.000000000000002</v>
      </c>
    </row>
    <row r="25" spans="1:18" s="14" customFormat="1" ht="90" hidden="1" outlineLevel="1" x14ac:dyDescent="0.25">
      <c r="A25" s="13">
        <v>1</v>
      </c>
      <c r="B25" s="29" t="s">
        <v>147</v>
      </c>
      <c r="C25" s="8" t="s">
        <v>57</v>
      </c>
      <c r="D25" s="27" t="s">
        <v>58</v>
      </c>
      <c r="E25" s="106">
        <f>+SUM(G25:K25)</f>
        <v>820.11111111111109</v>
      </c>
      <c r="F25" s="8">
        <f t="shared" si="1"/>
        <v>671</v>
      </c>
      <c r="G25" s="28">
        <v>671</v>
      </c>
      <c r="H25" s="28">
        <v>0</v>
      </c>
      <c r="I25" s="28">
        <v>0</v>
      </c>
      <c r="J25" s="28">
        <v>67.099999999999994</v>
      </c>
      <c r="K25" s="28">
        <f>+(G25+J25)/0.9*0.1</f>
        <v>82.01111111111112</v>
      </c>
      <c r="L25" s="27" t="s">
        <v>58</v>
      </c>
      <c r="M25" s="4">
        <f t="shared" si="7"/>
        <v>100.00000000000001</v>
      </c>
      <c r="N25" s="10">
        <f t="shared" si="8"/>
        <v>81.818181818181827</v>
      </c>
      <c r="O25" s="10">
        <f t="shared" si="8"/>
        <v>0</v>
      </c>
      <c r="P25" s="10">
        <f t="shared" si="8"/>
        <v>0</v>
      </c>
      <c r="Q25" s="10">
        <f t="shared" si="8"/>
        <v>8.1818181818181817</v>
      </c>
      <c r="R25" s="10">
        <f t="shared" si="8"/>
        <v>10.000000000000002</v>
      </c>
    </row>
    <row r="26" spans="1:18" s="14" customFormat="1" ht="75" hidden="1" outlineLevel="1" x14ac:dyDescent="0.25">
      <c r="A26" s="13">
        <f>+A25+1</f>
        <v>2</v>
      </c>
      <c r="B26" s="29" t="s">
        <v>148</v>
      </c>
      <c r="C26" s="8" t="s">
        <v>57</v>
      </c>
      <c r="D26" s="27" t="s">
        <v>59</v>
      </c>
      <c r="E26" s="106">
        <f t="shared" ref="E26:E28" si="10">+SUM(G26:K26)</f>
        <v>569.55555555555554</v>
      </c>
      <c r="F26" s="8">
        <f t="shared" si="1"/>
        <v>466</v>
      </c>
      <c r="G26" s="28">
        <v>466</v>
      </c>
      <c r="H26" s="28">
        <v>0</v>
      </c>
      <c r="I26" s="28">
        <v>0</v>
      </c>
      <c r="J26" s="28">
        <v>46.6</v>
      </c>
      <c r="K26" s="28">
        <f t="shared" ref="K26:K28" si="11">+(G26+J26)/0.9*0.1</f>
        <v>56.955555555555556</v>
      </c>
      <c r="L26" s="27" t="s">
        <v>59</v>
      </c>
      <c r="M26" s="4">
        <f t="shared" si="7"/>
        <v>100.00000000000001</v>
      </c>
      <c r="N26" s="10">
        <f t="shared" si="8"/>
        <v>81.818181818181827</v>
      </c>
      <c r="O26" s="10">
        <f t="shared" si="8"/>
        <v>0</v>
      </c>
      <c r="P26" s="10">
        <f t="shared" si="8"/>
        <v>0</v>
      </c>
      <c r="Q26" s="10">
        <f t="shared" si="8"/>
        <v>8.1818181818181817</v>
      </c>
      <c r="R26" s="10">
        <f t="shared" si="8"/>
        <v>10</v>
      </c>
    </row>
    <row r="27" spans="1:18" s="14" customFormat="1" ht="60" hidden="1" outlineLevel="1" x14ac:dyDescent="0.25">
      <c r="A27" s="13">
        <f t="shared" ref="A27:A28" si="12">+A26+1</f>
        <v>3</v>
      </c>
      <c r="B27" s="29" t="s">
        <v>149</v>
      </c>
      <c r="C27" s="8" t="s">
        <v>57</v>
      </c>
      <c r="D27" s="29" t="s">
        <v>60</v>
      </c>
      <c r="E27" s="106">
        <f t="shared" si="10"/>
        <v>574.44444444444446</v>
      </c>
      <c r="F27" s="8">
        <f t="shared" si="1"/>
        <v>470</v>
      </c>
      <c r="G27" s="28">
        <v>470</v>
      </c>
      <c r="H27" s="28">
        <v>0</v>
      </c>
      <c r="I27" s="28">
        <v>0</v>
      </c>
      <c r="J27" s="28">
        <v>47</v>
      </c>
      <c r="K27" s="28">
        <f t="shared" si="11"/>
        <v>57.44444444444445</v>
      </c>
      <c r="L27" s="29" t="s">
        <v>60</v>
      </c>
      <c r="M27" s="4">
        <f t="shared" si="7"/>
        <v>100</v>
      </c>
      <c r="N27" s="10">
        <f t="shared" si="8"/>
        <v>81.818181818181813</v>
      </c>
      <c r="O27" s="10">
        <f t="shared" si="8"/>
        <v>0</v>
      </c>
      <c r="P27" s="10">
        <f t="shared" si="8"/>
        <v>0</v>
      </c>
      <c r="Q27" s="10">
        <f t="shared" si="8"/>
        <v>8.1818181818181817</v>
      </c>
      <c r="R27" s="10">
        <f t="shared" si="8"/>
        <v>10</v>
      </c>
    </row>
    <row r="28" spans="1:18" s="14" customFormat="1" ht="75" hidden="1" outlineLevel="1" x14ac:dyDescent="0.25">
      <c r="A28" s="13">
        <f t="shared" si="12"/>
        <v>4</v>
      </c>
      <c r="B28" s="29" t="s">
        <v>150</v>
      </c>
      <c r="C28" s="8" t="s">
        <v>57</v>
      </c>
      <c r="D28" s="8" t="s">
        <v>61</v>
      </c>
      <c r="E28" s="106">
        <f t="shared" si="10"/>
        <v>831.11111111111109</v>
      </c>
      <c r="F28" s="8">
        <f t="shared" si="1"/>
        <v>680</v>
      </c>
      <c r="G28" s="28">
        <v>680</v>
      </c>
      <c r="H28" s="28">
        <v>0</v>
      </c>
      <c r="I28" s="28">
        <v>0</v>
      </c>
      <c r="J28" s="28">
        <v>68</v>
      </c>
      <c r="K28" s="28">
        <f t="shared" si="11"/>
        <v>83.111111111111114</v>
      </c>
      <c r="L28" s="29" t="s">
        <v>61</v>
      </c>
      <c r="M28" s="4">
        <f t="shared" si="7"/>
        <v>100.00000000000001</v>
      </c>
      <c r="N28" s="10">
        <f t="shared" si="8"/>
        <v>81.818181818181827</v>
      </c>
      <c r="O28" s="10">
        <f t="shared" si="8"/>
        <v>0</v>
      </c>
      <c r="P28" s="10">
        <f t="shared" si="8"/>
        <v>0</v>
      </c>
      <c r="Q28" s="10">
        <f t="shared" si="8"/>
        <v>8.1818181818181817</v>
      </c>
      <c r="R28" s="10">
        <f t="shared" si="8"/>
        <v>10</v>
      </c>
    </row>
    <row r="29" spans="1:18" s="45" customFormat="1" ht="21.75" hidden="1" customHeight="1" collapsed="1" x14ac:dyDescent="0.25">
      <c r="A29" s="39" t="s">
        <v>25</v>
      </c>
      <c r="B29" s="27" t="s">
        <v>28</v>
      </c>
      <c r="C29" s="33"/>
      <c r="D29" s="33"/>
      <c r="E29" s="41">
        <f>+SUM(E30:E34)</f>
        <v>2795.2222222222222</v>
      </c>
      <c r="F29" s="8">
        <f t="shared" si="1"/>
        <v>2287</v>
      </c>
      <c r="G29" s="41">
        <f>+SUM(G30:G34)</f>
        <v>2287</v>
      </c>
      <c r="H29" s="41">
        <f t="shared" ref="H29:K29" si="13">+SUM(H30:H34)</f>
        <v>0</v>
      </c>
      <c r="I29" s="41">
        <f t="shared" si="13"/>
        <v>0</v>
      </c>
      <c r="J29" s="41">
        <f t="shared" si="13"/>
        <v>228.70000000000002</v>
      </c>
      <c r="K29" s="41">
        <f t="shared" si="13"/>
        <v>279.52222222222224</v>
      </c>
      <c r="L29" s="33"/>
      <c r="M29" s="4">
        <f t="shared" si="7"/>
        <v>100.00000000000001</v>
      </c>
      <c r="N29" s="10">
        <f t="shared" si="8"/>
        <v>81.818181818181827</v>
      </c>
      <c r="O29" s="10">
        <f t="shared" si="8"/>
        <v>0</v>
      </c>
      <c r="P29" s="10">
        <f t="shared" si="8"/>
        <v>0</v>
      </c>
      <c r="Q29" s="10">
        <f t="shared" si="8"/>
        <v>8.1818181818181834</v>
      </c>
      <c r="R29" s="10">
        <f t="shared" si="8"/>
        <v>10</v>
      </c>
    </row>
    <row r="30" spans="1:18" s="45" customFormat="1" ht="90" hidden="1" x14ac:dyDescent="0.25">
      <c r="A30" s="13">
        <v>1</v>
      </c>
      <c r="B30" s="93" t="s">
        <v>155</v>
      </c>
      <c r="C30" s="33" t="s">
        <v>62</v>
      </c>
      <c r="D30" s="34" t="s">
        <v>63</v>
      </c>
      <c r="E30" s="35">
        <v>820.11111111111109</v>
      </c>
      <c r="F30" s="8">
        <f t="shared" si="1"/>
        <v>671</v>
      </c>
      <c r="G30" s="35">
        <v>671</v>
      </c>
      <c r="H30" s="35"/>
      <c r="I30" s="35"/>
      <c r="J30" s="35">
        <v>67.099999999999994</v>
      </c>
      <c r="K30" s="35">
        <v>82.01111111111112</v>
      </c>
      <c r="L30" s="34" t="s">
        <v>63</v>
      </c>
      <c r="M30" s="4">
        <f t="shared" si="7"/>
        <v>100.00000000000001</v>
      </c>
      <c r="N30" s="10">
        <f t="shared" si="8"/>
        <v>81.818181818181827</v>
      </c>
      <c r="O30" s="10">
        <f t="shared" si="8"/>
        <v>0</v>
      </c>
      <c r="P30" s="10">
        <f t="shared" si="8"/>
        <v>0</v>
      </c>
      <c r="Q30" s="10">
        <f t="shared" si="8"/>
        <v>8.1818181818181817</v>
      </c>
      <c r="R30" s="10">
        <f t="shared" si="8"/>
        <v>10.000000000000002</v>
      </c>
    </row>
    <row r="31" spans="1:18" s="45" customFormat="1" ht="45" hidden="1" x14ac:dyDescent="0.25">
      <c r="A31" s="13">
        <v>2</v>
      </c>
      <c r="B31" s="93" t="s">
        <v>152</v>
      </c>
      <c r="C31" s="33" t="s">
        <v>62</v>
      </c>
      <c r="D31" s="34" t="s">
        <v>64</v>
      </c>
      <c r="E31" s="35">
        <v>534.11111111111109</v>
      </c>
      <c r="F31" s="8">
        <f t="shared" si="1"/>
        <v>437</v>
      </c>
      <c r="G31" s="35">
        <v>437</v>
      </c>
      <c r="H31" s="35"/>
      <c r="I31" s="35"/>
      <c r="J31" s="35">
        <v>43.7</v>
      </c>
      <c r="K31" s="35">
        <v>53.411111111111119</v>
      </c>
      <c r="L31" s="34" t="s">
        <v>64</v>
      </c>
      <c r="M31" s="4">
        <f t="shared" si="7"/>
        <v>100.00000000000001</v>
      </c>
      <c r="N31" s="10">
        <f t="shared" si="8"/>
        <v>81.818181818181827</v>
      </c>
      <c r="O31" s="10">
        <f t="shared" si="8"/>
        <v>0</v>
      </c>
      <c r="P31" s="10">
        <f t="shared" si="8"/>
        <v>0</v>
      </c>
      <c r="Q31" s="10">
        <f t="shared" si="8"/>
        <v>8.1818181818181834</v>
      </c>
      <c r="R31" s="10">
        <f t="shared" si="8"/>
        <v>10.000000000000002</v>
      </c>
    </row>
    <row r="32" spans="1:18" s="45" customFormat="1" ht="45" hidden="1" x14ac:dyDescent="0.25">
      <c r="A32" s="13">
        <v>3</v>
      </c>
      <c r="B32" s="94" t="s">
        <v>151</v>
      </c>
      <c r="C32" s="33" t="s">
        <v>62</v>
      </c>
      <c r="D32" s="34" t="s">
        <v>65</v>
      </c>
      <c r="E32" s="35">
        <v>342.22222222222223</v>
      </c>
      <c r="F32" s="8">
        <f t="shared" si="1"/>
        <v>280</v>
      </c>
      <c r="G32" s="35">
        <v>280</v>
      </c>
      <c r="H32" s="35"/>
      <c r="I32" s="35"/>
      <c r="J32" s="35">
        <v>28</v>
      </c>
      <c r="K32" s="35">
        <v>34.222222222222221</v>
      </c>
      <c r="L32" s="34" t="s">
        <v>65</v>
      </c>
      <c r="M32" s="4">
        <f t="shared" si="7"/>
        <v>100</v>
      </c>
      <c r="N32" s="10">
        <f t="shared" si="8"/>
        <v>81.818181818181813</v>
      </c>
      <c r="O32" s="10">
        <f t="shared" si="8"/>
        <v>0</v>
      </c>
      <c r="P32" s="10">
        <f t="shared" si="8"/>
        <v>0</v>
      </c>
      <c r="Q32" s="10">
        <f t="shared" si="8"/>
        <v>8.1818181818181817</v>
      </c>
      <c r="R32" s="10">
        <f t="shared" si="8"/>
        <v>10</v>
      </c>
    </row>
    <row r="33" spans="1:18" s="45" customFormat="1" ht="45" hidden="1" x14ac:dyDescent="0.25">
      <c r="A33" s="13">
        <v>4</v>
      </c>
      <c r="B33" s="93" t="s">
        <v>153</v>
      </c>
      <c r="C33" s="33" t="s">
        <v>62</v>
      </c>
      <c r="D33" s="34" t="s">
        <v>66</v>
      </c>
      <c r="E33" s="35">
        <v>342.22222222222223</v>
      </c>
      <c r="F33" s="8">
        <f t="shared" si="1"/>
        <v>280</v>
      </c>
      <c r="G33" s="35">
        <v>280</v>
      </c>
      <c r="H33" s="35"/>
      <c r="I33" s="35"/>
      <c r="J33" s="35">
        <v>28</v>
      </c>
      <c r="K33" s="35">
        <v>34.222222222222221</v>
      </c>
      <c r="L33" s="34" t="s">
        <v>66</v>
      </c>
      <c r="M33" s="4">
        <f t="shared" si="7"/>
        <v>100</v>
      </c>
      <c r="N33" s="10">
        <f t="shared" si="8"/>
        <v>81.818181818181813</v>
      </c>
      <c r="O33" s="10">
        <f t="shared" si="8"/>
        <v>0</v>
      </c>
      <c r="P33" s="10">
        <f t="shared" si="8"/>
        <v>0</v>
      </c>
      <c r="Q33" s="10">
        <f t="shared" si="8"/>
        <v>8.1818181818181817</v>
      </c>
      <c r="R33" s="10">
        <f t="shared" si="8"/>
        <v>10</v>
      </c>
    </row>
    <row r="34" spans="1:18" s="45" customFormat="1" ht="45" hidden="1" x14ac:dyDescent="0.25">
      <c r="A34" s="13">
        <v>5</v>
      </c>
      <c r="B34" s="93" t="s">
        <v>154</v>
      </c>
      <c r="C34" s="33" t="s">
        <v>62</v>
      </c>
      <c r="D34" s="34" t="s">
        <v>67</v>
      </c>
      <c r="E34" s="35">
        <v>756.55555555555554</v>
      </c>
      <c r="F34" s="8">
        <f t="shared" si="1"/>
        <v>619</v>
      </c>
      <c r="G34" s="35">
        <v>619</v>
      </c>
      <c r="H34" s="35"/>
      <c r="I34" s="35"/>
      <c r="J34" s="35">
        <v>61.9</v>
      </c>
      <c r="K34" s="35">
        <v>75.655555555555551</v>
      </c>
      <c r="L34" s="34" t="s">
        <v>67</v>
      </c>
      <c r="M34" s="4">
        <f t="shared" si="7"/>
        <v>100.00000000000001</v>
      </c>
      <c r="N34" s="10">
        <f t="shared" si="8"/>
        <v>81.818181818181827</v>
      </c>
      <c r="O34" s="10">
        <f t="shared" si="8"/>
        <v>0</v>
      </c>
      <c r="P34" s="10">
        <f t="shared" si="8"/>
        <v>0</v>
      </c>
      <c r="Q34" s="10">
        <f t="shared" si="8"/>
        <v>8.1818181818181817</v>
      </c>
      <c r="R34" s="10">
        <f t="shared" si="8"/>
        <v>10</v>
      </c>
    </row>
    <row r="35" spans="1:18" ht="19.5" hidden="1" customHeight="1" x14ac:dyDescent="0.25">
      <c r="A35" s="20" t="s">
        <v>35</v>
      </c>
      <c r="B35" s="102" t="s">
        <v>36</v>
      </c>
      <c r="C35" s="41"/>
      <c r="D35" s="41"/>
      <c r="E35" s="41">
        <f>+SUM(E36:E39)</f>
        <v>2795.2222222222222</v>
      </c>
      <c r="F35" s="8">
        <f t="shared" si="1"/>
        <v>2287</v>
      </c>
      <c r="G35" s="41">
        <f t="shared" ref="G35:K35" si="14">+SUM(G36:G39)</f>
        <v>2287</v>
      </c>
      <c r="H35" s="41">
        <f t="shared" si="14"/>
        <v>0</v>
      </c>
      <c r="I35" s="41">
        <f t="shared" si="14"/>
        <v>0</v>
      </c>
      <c r="J35" s="41">
        <f t="shared" si="14"/>
        <v>228.7</v>
      </c>
      <c r="K35" s="41">
        <f t="shared" si="14"/>
        <v>279.52222222222224</v>
      </c>
      <c r="L35" s="41"/>
      <c r="M35" s="4">
        <f>+N35+O35+P35+Q35+R35</f>
        <v>100.00000000000001</v>
      </c>
      <c r="N35" s="10">
        <f>+G35/$E35*100</f>
        <v>81.818181818181827</v>
      </c>
      <c r="O35" s="10">
        <f t="shared" si="8"/>
        <v>0</v>
      </c>
      <c r="P35" s="10">
        <f t="shared" si="8"/>
        <v>0</v>
      </c>
      <c r="Q35" s="10">
        <f t="shared" si="8"/>
        <v>8.1818181818181817</v>
      </c>
      <c r="R35" s="10">
        <f t="shared" si="8"/>
        <v>10</v>
      </c>
    </row>
    <row r="36" spans="1:18" s="14" customFormat="1" ht="30" hidden="1" outlineLevel="1" x14ac:dyDescent="0.25">
      <c r="A36" s="13">
        <v>1</v>
      </c>
      <c r="B36" s="29" t="s">
        <v>68</v>
      </c>
      <c r="C36" s="8" t="s">
        <v>69</v>
      </c>
      <c r="D36" s="8" t="s">
        <v>70</v>
      </c>
      <c r="E36" s="106">
        <f>+SUM(G36:K36)</f>
        <v>820.11111111111109</v>
      </c>
      <c r="F36" s="8">
        <f t="shared" si="1"/>
        <v>671</v>
      </c>
      <c r="G36" s="28">
        <v>671</v>
      </c>
      <c r="H36" s="28"/>
      <c r="I36" s="28"/>
      <c r="J36" s="28">
        <v>67.099999999999994</v>
      </c>
      <c r="K36" s="28">
        <f>(G36+J36)/0.9*0.1</f>
        <v>82.01111111111112</v>
      </c>
      <c r="L36" s="8" t="s">
        <v>70</v>
      </c>
      <c r="M36" s="4">
        <f t="shared" ref="M36:M80" si="15">+N36+O36+P36+Q36+R36</f>
        <v>100.00000000000001</v>
      </c>
      <c r="N36" s="10">
        <f t="shared" ref="N36:R52" si="16">+G36/$E36*100</f>
        <v>81.818181818181827</v>
      </c>
      <c r="O36" s="10">
        <f t="shared" si="8"/>
        <v>0</v>
      </c>
      <c r="P36" s="10">
        <f t="shared" si="8"/>
        <v>0</v>
      </c>
      <c r="Q36" s="10">
        <f t="shared" si="8"/>
        <v>8.1818181818181817</v>
      </c>
      <c r="R36" s="10">
        <f t="shared" si="8"/>
        <v>10.000000000000002</v>
      </c>
    </row>
    <row r="37" spans="1:18" s="14" customFormat="1" ht="30" hidden="1" outlineLevel="1" x14ac:dyDescent="0.25">
      <c r="A37" s="13">
        <v>2</v>
      </c>
      <c r="B37" s="29" t="s">
        <v>71</v>
      </c>
      <c r="C37" s="8" t="s">
        <v>69</v>
      </c>
      <c r="D37" s="8" t="s">
        <v>72</v>
      </c>
      <c r="E37" s="106">
        <f t="shared" ref="E37:E39" si="17">+SUM(G37:K37)</f>
        <v>488.88888888888891</v>
      </c>
      <c r="F37" s="8">
        <f t="shared" si="1"/>
        <v>400</v>
      </c>
      <c r="G37" s="28">
        <v>400</v>
      </c>
      <c r="H37" s="28"/>
      <c r="I37" s="28"/>
      <c r="J37" s="28">
        <v>40</v>
      </c>
      <c r="K37" s="28">
        <f t="shared" ref="K37:K39" si="18">(G37+J37)/0.9*0.1</f>
        <v>48.888888888888886</v>
      </c>
      <c r="L37" s="8" t="s">
        <v>72</v>
      </c>
      <c r="M37" s="4">
        <f t="shared" si="15"/>
        <v>100</v>
      </c>
      <c r="N37" s="10">
        <f t="shared" si="16"/>
        <v>81.818181818181813</v>
      </c>
      <c r="O37" s="10">
        <f t="shared" si="8"/>
        <v>0</v>
      </c>
      <c r="P37" s="10">
        <f t="shared" si="8"/>
        <v>0</v>
      </c>
      <c r="Q37" s="10">
        <f t="shared" si="8"/>
        <v>8.1818181818181817</v>
      </c>
      <c r="R37" s="10">
        <f t="shared" si="8"/>
        <v>10</v>
      </c>
    </row>
    <row r="38" spans="1:18" s="14" customFormat="1" ht="30" hidden="1" outlineLevel="1" x14ac:dyDescent="0.25">
      <c r="A38" s="13">
        <v>3</v>
      </c>
      <c r="B38" s="29" t="s">
        <v>73</v>
      </c>
      <c r="C38" s="8" t="s">
        <v>69</v>
      </c>
      <c r="D38" s="8" t="s">
        <v>70</v>
      </c>
      <c r="E38" s="106">
        <f t="shared" si="17"/>
        <v>752.88888888888891</v>
      </c>
      <c r="F38" s="8">
        <f t="shared" si="1"/>
        <v>616</v>
      </c>
      <c r="G38" s="28">
        <v>616</v>
      </c>
      <c r="H38" s="28"/>
      <c r="I38" s="28"/>
      <c r="J38" s="28">
        <v>61.6</v>
      </c>
      <c r="K38" s="28">
        <f t="shared" si="18"/>
        <v>75.288888888888891</v>
      </c>
      <c r="L38" s="8" t="s">
        <v>70</v>
      </c>
      <c r="M38" s="4">
        <f t="shared" si="15"/>
        <v>100</v>
      </c>
      <c r="N38" s="10">
        <f t="shared" si="16"/>
        <v>81.818181818181813</v>
      </c>
      <c r="O38" s="10">
        <f t="shared" si="8"/>
        <v>0</v>
      </c>
      <c r="P38" s="10">
        <f t="shared" si="8"/>
        <v>0</v>
      </c>
      <c r="Q38" s="10">
        <f t="shared" si="8"/>
        <v>8.1818181818181817</v>
      </c>
      <c r="R38" s="10">
        <f t="shared" si="8"/>
        <v>10</v>
      </c>
    </row>
    <row r="39" spans="1:18" s="14" customFormat="1" ht="30" hidden="1" outlineLevel="1" x14ac:dyDescent="0.25">
      <c r="A39" s="13">
        <v>4</v>
      </c>
      <c r="B39" s="29" t="s">
        <v>74</v>
      </c>
      <c r="C39" s="8" t="s">
        <v>69</v>
      </c>
      <c r="D39" s="8" t="s">
        <v>70</v>
      </c>
      <c r="E39" s="106">
        <f t="shared" si="17"/>
        <v>733.33333333333337</v>
      </c>
      <c r="F39" s="8">
        <f t="shared" si="1"/>
        <v>600</v>
      </c>
      <c r="G39" s="28">
        <v>600</v>
      </c>
      <c r="H39" s="28"/>
      <c r="I39" s="28"/>
      <c r="J39" s="28">
        <v>60</v>
      </c>
      <c r="K39" s="28">
        <f t="shared" si="18"/>
        <v>73.333333333333343</v>
      </c>
      <c r="L39" s="8" t="s">
        <v>70</v>
      </c>
      <c r="M39" s="4">
        <f t="shared" si="15"/>
        <v>100</v>
      </c>
      <c r="N39" s="10">
        <f t="shared" si="16"/>
        <v>81.818181818181813</v>
      </c>
      <c r="O39" s="10">
        <f t="shared" si="16"/>
        <v>0</v>
      </c>
      <c r="P39" s="10">
        <f t="shared" si="16"/>
        <v>0</v>
      </c>
      <c r="Q39" s="10">
        <f t="shared" si="16"/>
        <v>8.1818181818181817</v>
      </c>
      <c r="R39" s="10">
        <f t="shared" si="16"/>
        <v>10</v>
      </c>
    </row>
    <row r="40" spans="1:18" hidden="1" collapsed="1" x14ac:dyDescent="0.25">
      <c r="A40" s="20" t="s">
        <v>37</v>
      </c>
      <c r="B40" s="102" t="s">
        <v>38</v>
      </c>
      <c r="C40" s="41"/>
      <c r="D40" s="41"/>
      <c r="E40" s="41">
        <f>+SUM(E41:E46)</f>
        <v>2533.6559999999999</v>
      </c>
      <c r="F40" s="8">
        <f t="shared" si="1"/>
        <v>2287.0000000000005</v>
      </c>
      <c r="G40" s="41">
        <f t="shared" ref="G40:K40" si="19">+SUM(G41:G46)</f>
        <v>2287.0000000000005</v>
      </c>
      <c r="H40" s="41">
        <f t="shared" si="19"/>
        <v>0</v>
      </c>
      <c r="I40" s="41">
        <f t="shared" si="19"/>
        <v>0</v>
      </c>
      <c r="J40" s="41">
        <f t="shared" si="19"/>
        <v>0</v>
      </c>
      <c r="K40" s="41">
        <f t="shared" si="19"/>
        <v>254.11111111111111</v>
      </c>
      <c r="L40" s="41"/>
      <c r="M40" s="4">
        <f t="shared" si="15"/>
        <v>100.29424322445951</v>
      </c>
      <c r="N40" s="10">
        <f t="shared" si="16"/>
        <v>90.264818902013559</v>
      </c>
      <c r="O40" s="10">
        <f t="shared" si="16"/>
        <v>0</v>
      </c>
      <c r="P40" s="10">
        <f t="shared" si="16"/>
        <v>0</v>
      </c>
      <c r="Q40" s="10">
        <f t="shared" si="16"/>
        <v>0</v>
      </c>
      <c r="R40" s="10">
        <f t="shared" si="16"/>
        <v>10.029424322445948</v>
      </c>
    </row>
    <row r="41" spans="1:18" s="14" customFormat="1" ht="30" hidden="1" outlineLevel="1" x14ac:dyDescent="0.25">
      <c r="A41" s="13">
        <v>1</v>
      </c>
      <c r="B41" s="29" t="s">
        <v>75</v>
      </c>
      <c r="C41" s="8" t="s">
        <v>76</v>
      </c>
      <c r="D41" s="8" t="s">
        <v>77</v>
      </c>
      <c r="E41" s="106">
        <v>671</v>
      </c>
      <c r="F41" s="8">
        <f t="shared" si="1"/>
        <v>610</v>
      </c>
      <c r="G41" s="28">
        <v>610</v>
      </c>
      <c r="H41" s="28">
        <v>0</v>
      </c>
      <c r="I41" s="28">
        <v>0</v>
      </c>
      <c r="J41" s="28">
        <v>0</v>
      </c>
      <c r="K41" s="28">
        <f>+G41/0.9*0.1</f>
        <v>67.777777777777771</v>
      </c>
      <c r="L41" s="8" t="s">
        <v>77</v>
      </c>
      <c r="M41" s="4">
        <f t="shared" si="15"/>
        <v>101.01010101010101</v>
      </c>
      <c r="N41" s="10">
        <f t="shared" si="16"/>
        <v>90.909090909090907</v>
      </c>
      <c r="O41" s="10">
        <f t="shared" si="16"/>
        <v>0</v>
      </c>
      <c r="P41" s="10">
        <f t="shared" si="16"/>
        <v>0</v>
      </c>
      <c r="Q41" s="10">
        <f t="shared" si="16"/>
        <v>0</v>
      </c>
      <c r="R41" s="10">
        <f t="shared" si="16"/>
        <v>10.1010101010101</v>
      </c>
    </row>
    <row r="42" spans="1:18" s="14" customFormat="1" ht="30" hidden="1" outlineLevel="1" x14ac:dyDescent="0.25">
      <c r="A42" s="13">
        <v>2</v>
      </c>
      <c r="B42" s="29" t="s">
        <v>78</v>
      </c>
      <c r="C42" s="8" t="s">
        <v>76</v>
      </c>
      <c r="D42" s="8" t="s">
        <v>79</v>
      </c>
      <c r="E42" s="106">
        <v>67.099999999999994</v>
      </c>
      <c r="F42" s="8">
        <f t="shared" si="1"/>
        <v>61</v>
      </c>
      <c r="G42" s="28">
        <v>61</v>
      </c>
      <c r="H42" s="28">
        <v>0</v>
      </c>
      <c r="I42" s="28">
        <v>0</v>
      </c>
      <c r="J42" s="28">
        <v>0</v>
      </c>
      <c r="K42" s="28">
        <f t="shared" ref="K42:K46" si="20">+G42/0.9*0.1</f>
        <v>6.7777777777777777</v>
      </c>
      <c r="L42" s="8" t="s">
        <v>79</v>
      </c>
      <c r="M42" s="4">
        <f t="shared" si="15"/>
        <v>101.01010101010102</v>
      </c>
      <c r="N42" s="10">
        <f t="shared" si="16"/>
        <v>90.909090909090921</v>
      </c>
      <c r="O42" s="10">
        <f t="shared" si="16"/>
        <v>0</v>
      </c>
      <c r="P42" s="10">
        <f t="shared" si="16"/>
        <v>0</v>
      </c>
      <c r="Q42" s="10">
        <f t="shared" si="16"/>
        <v>0</v>
      </c>
      <c r="R42" s="10">
        <f t="shared" si="16"/>
        <v>10.101010101010102</v>
      </c>
    </row>
    <row r="43" spans="1:18" s="14" customFormat="1" ht="30" hidden="1" outlineLevel="1" x14ac:dyDescent="0.25">
      <c r="A43" s="13">
        <v>3</v>
      </c>
      <c r="B43" s="29" t="s">
        <v>80</v>
      </c>
      <c r="C43" s="8" t="s">
        <v>76</v>
      </c>
      <c r="D43" s="8" t="s">
        <v>81</v>
      </c>
      <c r="E43" s="106">
        <v>486.15</v>
      </c>
      <c r="F43" s="8">
        <f t="shared" si="1"/>
        <v>437.53500000000003</v>
      </c>
      <c r="G43" s="28">
        <v>437.53500000000003</v>
      </c>
      <c r="H43" s="28">
        <v>0</v>
      </c>
      <c r="I43" s="28">
        <v>0</v>
      </c>
      <c r="J43" s="28">
        <v>0</v>
      </c>
      <c r="K43" s="28">
        <f t="shared" si="20"/>
        <v>48.615000000000009</v>
      </c>
      <c r="L43" s="8" t="s">
        <v>81</v>
      </c>
      <c r="M43" s="4">
        <f t="shared" si="15"/>
        <v>100.00000000000001</v>
      </c>
      <c r="N43" s="10">
        <f t="shared" si="16"/>
        <v>90.000000000000014</v>
      </c>
      <c r="O43" s="10">
        <f t="shared" si="16"/>
        <v>0</v>
      </c>
      <c r="P43" s="10">
        <f t="shared" si="16"/>
        <v>0</v>
      </c>
      <c r="Q43" s="10">
        <f t="shared" si="16"/>
        <v>0</v>
      </c>
      <c r="R43" s="10">
        <f t="shared" si="16"/>
        <v>10.000000000000002</v>
      </c>
    </row>
    <row r="44" spans="1:18" s="14" customFormat="1" ht="30" hidden="1" outlineLevel="1" x14ac:dyDescent="0.25">
      <c r="A44" s="13">
        <v>4</v>
      </c>
      <c r="B44" s="29" t="s">
        <v>82</v>
      </c>
      <c r="C44" s="8" t="s">
        <v>76</v>
      </c>
      <c r="D44" s="8" t="s">
        <v>83</v>
      </c>
      <c r="E44" s="106">
        <v>232.56</v>
      </c>
      <c r="F44" s="8">
        <f t="shared" si="1"/>
        <v>209.304</v>
      </c>
      <c r="G44" s="28">
        <v>209.304</v>
      </c>
      <c r="H44" s="28">
        <v>0</v>
      </c>
      <c r="I44" s="28">
        <v>0</v>
      </c>
      <c r="J44" s="28">
        <v>0</v>
      </c>
      <c r="K44" s="28">
        <f t="shared" si="20"/>
        <v>23.256</v>
      </c>
      <c r="L44" s="8" t="s">
        <v>83</v>
      </c>
      <c r="M44" s="4">
        <f t="shared" si="15"/>
        <v>100</v>
      </c>
      <c r="N44" s="10">
        <f t="shared" si="16"/>
        <v>90</v>
      </c>
      <c r="O44" s="10">
        <f t="shared" si="16"/>
        <v>0</v>
      </c>
      <c r="P44" s="10">
        <f t="shared" si="16"/>
        <v>0</v>
      </c>
      <c r="Q44" s="10">
        <f t="shared" si="16"/>
        <v>0</v>
      </c>
      <c r="R44" s="10">
        <f t="shared" si="16"/>
        <v>10</v>
      </c>
    </row>
    <row r="45" spans="1:18" s="14" customFormat="1" ht="30" hidden="1" outlineLevel="1" x14ac:dyDescent="0.25">
      <c r="A45" s="13">
        <v>5</v>
      </c>
      <c r="B45" s="29" t="s">
        <v>84</v>
      </c>
      <c r="C45" s="8" t="s">
        <v>76</v>
      </c>
      <c r="D45" s="8" t="s">
        <v>85</v>
      </c>
      <c r="E45" s="106">
        <v>567.12</v>
      </c>
      <c r="F45" s="8">
        <f t="shared" si="1"/>
        <v>510.40800000000002</v>
      </c>
      <c r="G45" s="28">
        <v>510.40800000000002</v>
      </c>
      <c r="H45" s="28">
        <v>0</v>
      </c>
      <c r="I45" s="28">
        <v>0</v>
      </c>
      <c r="J45" s="28">
        <v>0</v>
      </c>
      <c r="K45" s="28">
        <f t="shared" si="20"/>
        <v>56.712000000000003</v>
      </c>
      <c r="L45" s="8" t="s">
        <v>85</v>
      </c>
      <c r="M45" s="4">
        <f t="shared" si="15"/>
        <v>100</v>
      </c>
      <c r="N45" s="10">
        <f t="shared" si="16"/>
        <v>90</v>
      </c>
      <c r="O45" s="10">
        <f t="shared" si="16"/>
        <v>0</v>
      </c>
      <c r="P45" s="10">
        <f t="shared" si="16"/>
        <v>0</v>
      </c>
      <c r="Q45" s="10">
        <f t="shared" si="16"/>
        <v>0</v>
      </c>
      <c r="R45" s="10">
        <f t="shared" si="16"/>
        <v>10</v>
      </c>
    </row>
    <row r="46" spans="1:18" s="14" customFormat="1" ht="30" hidden="1" outlineLevel="1" x14ac:dyDescent="0.25">
      <c r="A46" s="13">
        <v>6</v>
      </c>
      <c r="B46" s="29" t="s">
        <v>86</v>
      </c>
      <c r="C46" s="8" t="s">
        <v>76</v>
      </c>
      <c r="D46" s="8" t="s">
        <v>87</v>
      </c>
      <c r="E46" s="106">
        <v>509.726</v>
      </c>
      <c r="F46" s="8">
        <f t="shared" si="1"/>
        <v>458.75299999999999</v>
      </c>
      <c r="G46" s="28">
        <v>458.75299999999999</v>
      </c>
      <c r="H46" s="28">
        <v>0</v>
      </c>
      <c r="I46" s="28">
        <v>0</v>
      </c>
      <c r="J46" s="28">
        <v>0</v>
      </c>
      <c r="K46" s="28">
        <f t="shared" si="20"/>
        <v>50.972555555555552</v>
      </c>
      <c r="L46" s="8" t="s">
        <v>87</v>
      </c>
      <c r="M46" s="4">
        <f t="shared" si="15"/>
        <v>99.999912807185737</v>
      </c>
      <c r="N46" s="10">
        <f t="shared" si="16"/>
        <v>89.999921526467162</v>
      </c>
      <c r="O46" s="10">
        <f t="shared" si="16"/>
        <v>0</v>
      </c>
      <c r="P46" s="10">
        <f t="shared" si="16"/>
        <v>0</v>
      </c>
      <c r="Q46" s="10">
        <f t="shared" si="16"/>
        <v>0</v>
      </c>
      <c r="R46" s="10">
        <f t="shared" si="16"/>
        <v>9.9999912807185733</v>
      </c>
    </row>
    <row r="47" spans="1:18" ht="28.5" hidden="1" customHeight="1" collapsed="1" x14ac:dyDescent="0.25">
      <c r="A47" s="20" t="s">
        <v>39</v>
      </c>
      <c r="B47" s="103" t="s">
        <v>22</v>
      </c>
      <c r="C47" s="41"/>
      <c r="D47" s="41"/>
      <c r="E47" s="41">
        <f>+SUM(E48:E51)</f>
        <v>2541</v>
      </c>
      <c r="F47" s="8">
        <f t="shared" si="1"/>
        <v>2287</v>
      </c>
      <c r="G47" s="41">
        <f t="shared" ref="G47:K47" si="21">+SUM(G48:G51)</f>
        <v>2287</v>
      </c>
      <c r="H47" s="41">
        <f t="shared" si="21"/>
        <v>0</v>
      </c>
      <c r="I47" s="41">
        <f t="shared" si="21"/>
        <v>0</v>
      </c>
      <c r="J47" s="41">
        <f t="shared" si="21"/>
        <v>0</v>
      </c>
      <c r="K47" s="41">
        <f t="shared" si="21"/>
        <v>253.99999999999994</v>
      </c>
      <c r="L47" s="41"/>
      <c r="M47" s="4">
        <f t="shared" si="15"/>
        <v>100</v>
      </c>
      <c r="N47" s="10">
        <f t="shared" si="16"/>
        <v>90.00393545848091</v>
      </c>
      <c r="O47" s="10">
        <f t="shared" si="16"/>
        <v>0</v>
      </c>
      <c r="P47" s="10">
        <f t="shared" si="16"/>
        <v>0</v>
      </c>
      <c r="Q47" s="10">
        <f t="shared" si="16"/>
        <v>0</v>
      </c>
      <c r="R47" s="10">
        <f t="shared" si="16"/>
        <v>9.9960645415190843</v>
      </c>
    </row>
    <row r="48" spans="1:18" ht="30" hidden="1" outlineLevel="1" x14ac:dyDescent="0.25">
      <c r="A48" s="13">
        <v>1</v>
      </c>
      <c r="B48" s="19" t="s">
        <v>88</v>
      </c>
      <c r="C48" s="13" t="s">
        <v>89</v>
      </c>
      <c r="D48" s="13" t="s">
        <v>90</v>
      </c>
      <c r="E48" s="13">
        <v>745</v>
      </c>
      <c r="F48" s="8">
        <f t="shared" si="1"/>
        <v>671</v>
      </c>
      <c r="G48" s="13">
        <v>671</v>
      </c>
      <c r="H48" s="13"/>
      <c r="I48" s="13"/>
      <c r="J48" s="13"/>
      <c r="K48" s="13">
        <f t="shared" ref="K48:K51" si="22">E48-G48</f>
        <v>74</v>
      </c>
      <c r="L48" s="13" t="s">
        <v>90</v>
      </c>
      <c r="M48" s="4">
        <f t="shared" si="15"/>
        <v>100</v>
      </c>
      <c r="N48" s="10">
        <f t="shared" si="16"/>
        <v>90.067114093959731</v>
      </c>
      <c r="O48" s="10">
        <f t="shared" si="16"/>
        <v>0</v>
      </c>
      <c r="P48" s="10">
        <f t="shared" si="16"/>
        <v>0</v>
      </c>
      <c r="Q48" s="10">
        <f t="shared" si="16"/>
        <v>0</v>
      </c>
      <c r="R48" s="10">
        <f t="shared" si="16"/>
        <v>9.9328859060402692</v>
      </c>
    </row>
    <row r="49" spans="1:18" ht="30" hidden="1" outlineLevel="1" x14ac:dyDescent="0.25">
      <c r="A49" s="13">
        <v>2</v>
      </c>
      <c r="B49" s="19" t="s">
        <v>91</v>
      </c>
      <c r="C49" s="13" t="s">
        <v>89</v>
      </c>
      <c r="D49" s="13" t="s">
        <v>92</v>
      </c>
      <c r="E49" s="13">
        <v>624</v>
      </c>
      <c r="F49" s="8">
        <f t="shared" si="1"/>
        <v>561.20000000000005</v>
      </c>
      <c r="G49" s="13">
        <v>561.20000000000005</v>
      </c>
      <c r="H49" s="13"/>
      <c r="I49" s="13"/>
      <c r="J49" s="13"/>
      <c r="K49" s="13">
        <f t="shared" si="22"/>
        <v>62.799999999999955</v>
      </c>
      <c r="L49" s="13" t="s">
        <v>92</v>
      </c>
      <c r="M49" s="4">
        <f t="shared" si="15"/>
        <v>100</v>
      </c>
      <c r="N49" s="10">
        <f t="shared" si="16"/>
        <v>89.935897435897445</v>
      </c>
      <c r="O49" s="10">
        <f t="shared" si="16"/>
        <v>0</v>
      </c>
      <c r="P49" s="10">
        <f t="shared" si="16"/>
        <v>0</v>
      </c>
      <c r="Q49" s="10">
        <f t="shared" si="16"/>
        <v>0</v>
      </c>
      <c r="R49" s="10">
        <f t="shared" si="16"/>
        <v>10.064102564102557</v>
      </c>
    </row>
    <row r="50" spans="1:18" ht="30" hidden="1" outlineLevel="1" x14ac:dyDescent="0.25">
      <c r="A50" s="13">
        <v>3</v>
      </c>
      <c r="B50" s="19" t="s">
        <v>93</v>
      </c>
      <c r="C50" s="13" t="s">
        <v>89</v>
      </c>
      <c r="D50" s="13" t="s">
        <v>94</v>
      </c>
      <c r="E50" s="13">
        <v>432</v>
      </c>
      <c r="F50" s="8">
        <f t="shared" si="1"/>
        <v>388.8</v>
      </c>
      <c r="G50" s="13">
        <f t="shared" ref="G50:G51" si="23">E50*0.9</f>
        <v>388.8</v>
      </c>
      <c r="H50" s="13"/>
      <c r="I50" s="13"/>
      <c r="J50" s="13"/>
      <c r="K50" s="13">
        <f t="shared" si="22"/>
        <v>43.199999999999989</v>
      </c>
      <c r="L50" s="13" t="s">
        <v>94</v>
      </c>
      <c r="M50" s="4">
        <f t="shared" si="15"/>
        <v>100</v>
      </c>
      <c r="N50" s="10">
        <f t="shared" si="16"/>
        <v>90</v>
      </c>
      <c r="O50" s="10">
        <f t="shared" si="16"/>
        <v>0</v>
      </c>
      <c r="P50" s="10">
        <f t="shared" si="16"/>
        <v>0</v>
      </c>
      <c r="Q50" s="10">
        <f t="shared" si="16"/>
        <v>0</v>
      </c>
      <c r="R50" s="10">
        <f t="shared" si="16"/>
        <v>9.9999999999999982</v>
      </c>
    </row>
    <row r="51" spans="1:18" ht="30" hidden="1" outlineLevel="1" x14ac:dyDescent="0.25">
      <c r="A51" s="13">
        <v>4</v>
      </c>
      <c r="B51" s="19" t="s">
        <v>95</v>
      </c>
      <c r="C51" s="13" t="s">
        <v>89</v>
      </c>
      <c r="D51" s="13" t="s">
        <v>96</v>
      </c>
      <c r="E51" s="13">
        <v>740</v>
      </c>
      <c r="F51" s="8">
        <f t="shared" si="1"/>
        <v>666</v>
      </c>
      <c r="G51" s="13">
        <f t="shared" si="23"/>
        <v>666</v>
      </c>
      <c r="H51" s="13"/>
      <c r="I51" s="13"/>
      <c r="J51" s="13"/>
      <c r="K51" s="13">
        <f t="shared" si="22"/>
        <v>74</v>
      </c>
      <c r="L51" s="13" t="s">
        <v>96</v>
      </c>
      <c r="M51" s="4">
        <f t="shared" si="15"/>
        <v>100</v>
      </c>
      <c r="N51" s="10">
        <f t="shared" si="16"/>
        <v>90</v>
      </c>
      <c r="O51" s="10">
        <f t="shared" si="16"/>
        <v>0</v>
      </c>
      <c r="P51" s="10">
        <f t="shared" si="16"/>
        <v>0</v>
      </c>
      <c r="Q51" s="10">
        <f t="shared" si="16"/>
        <v>0</v>
      </c>
      <c r="R51" s="10">
        <f t="shared" si="16"/>
        <v>10</v>
      </c>
    </row>
    <row r="52" spans="1:18" ht="21" hidden="1" customHeight="1" collapsed="1" x14ac:dyDescent="0.25">
      <c r="A52" s="20" t="s">
        <v>40</v>
      </c>
      <c r="B52" s="103" t="s">
        <v>41</v>
      </c>
      <c r="C52" s="41"/>
      <c r="D52" s="41"/>
      <c r="E52" s="41">
        <f t="shared" ref="E52:J52" si="24">+SUM(E53:E61)</f>
        <v>4459.5992939999996</v>
      </c>
      <c r="F52" s="8">
        <f t="shared" si="1"/>
        <v>2287</v>
      </c>
      <c r="G52" s="41">
        <f t="shared" si="24"/>
        <v>2287</v>
      </c>
      <c r="H52" s="41">
        <f t="shared" si="24"/>
        <v>0</v>
      </c>
      <c r="I52" s="41">
        <f t="shared" si="24"/>
        <v>0</v>
      </c>
      <c r="J52" s="41">
        <f t="shared" si="24"/>
        <v>1785.3192939999999</v>
      </c>
      <c r="K52" s="41">
        <f>+SUM(K53:K61)</f>
        <v>387.28</v>
      </c>
      <c r="L52" s="41"/>
      <c r="M52" s="4">
        <f t="shared" si="15"/>
        <v>100.00000000000001</v>
      </c>
      <c r="N52" s="10">
        <f t="shared" si="16"/>
        <v>51.282634363068411</v>
      </c>
      <c r="O52" s="10">
        <f t="shared" si="16"/>
        <v>0</v>
      </c>
      <c r="P52" s="10">
        <f t="shared" si="16"/>
        <v>0</v>
      </c>
      <c r="Q52" s="10">
        <f t="shared" si="16"/>
        <v>40.033177339542384</v>
      </c>
      <c r="R52" s="10">
        <f t="shared" si="16"/>
        <v>8.6841882973892144</v>
      </c>
    </row>
    <row r="53" spans="1:18" ht="45" hidden="1" outlineLevel="1" x14ac:dyDescent="0.25">
      <c r="A53" s="13">
        <v>1</v>
      </c>
      <c r="B53" s="19" t="s">
        <v>156</v>
      </c>
      <c r="C53" s="13" t="s">
        <v>97</v>
      </c>
      <c r="D53" s="13" t="s">
        <v>98</v>
      </c>
      <c r="E53" s="13">
        <v>472</v>
      </c>
      <c r="F53" s="8">
        <f t="shared" si="1"/>
        <v>165.31450000000001</v>
      </c>
      <c r="G53" s="13">
        <v>165.31450000000001</v>
      </c>
      <c r="H53" s="13"/>
      <c r="I53" s="13"/>
      <c r="J53" s="13">
        <v>259.4855</v>
      </c>
      <c r="K53" s="13">
        <v>47.2</v>
      </c>
      <c r="L53" s="13" t="s">
        <v>98</v>
      </c>
      <c r="M53" s="4">
        <f t="shared" si="15"/>
        <v>100</v>
      </c>
      <c r="N53" s="10">
        <f t="shared" ref="N53:R68" si="25">+G53/$E53*100</f>
        <v>35.024258474576278</v>
      </c>
      <c r="O53" s="10">
        <f t="shared" si="25"/>
        <v>0</v>
      </c>
      <c r="P53" s="10">
        <f t="shared" si="25"/>
        <v>0</v>
      </c>
      <c r="Q53" s="10">
        <f t="shared" si="25"/>
        <v>54.975741525423729</v>
      </c>
      <c r="R53" s="10">
        <f t="shared" si="25"/>
        <v>10</v>
      </c>
    </row>
    <row r="54" spans="1:18" ht="45" hidden="1" outlineLevel="1" x14ac:dyDescent="0.25">
      <c r="A54" s="13">
        <f>+A53+1</f>
        <v>2</v>
      </c>
      <c r="B54" s="19" t="s">
        <v>157</v>
      </c>
      <c r="C54" s="13" t="s">
        <v>97</v>
      </c>
      <c r="D54" s="13" t="s">
        <v>99</v>
      </c>
      <c r="E54" s="13">
        <v>400</v>
      </c>
      <c r="F54" s="8">
        <f t="shared" si="1"/>
        <v>185.16062600000001</v>
      </c>
      <c r="G54" s="13">
        <v>185.16062600000001</v>
      </c>
      <c r="H54" s="13"/>
      <c r="I54" s="13"/>
      <c r="J54" s="13">
        <v>174.83937399999999</v>
      </c>
      <c r="K54" s="13">
        <v>40</v>
      </c>
      <c r="L54" s="13" t="s">
        <v>99</v>
      </c>
      <c r="M54" s="4">
        <f t="shared" si="15"/>
        <v>100</v>
      </c>
      <c r="N54" s="10">
        <f t="shared" si="25"/>
        <v>46.290156500000002</v>
      </c>
      <c r="O54" s="10">
        <f t="shared" si="25"/>
        <v>0</v>
      </c>
      <c r="P54" s="10">
        <f t="shared" si="25"/>
        <v>0</v>
      </c>
      <c r="Q54" s="10">
        <f t="shared" si="25"/>
        <v>43.709843499999998</v>
      </c>
      <c r="R54" s="10">
        <f t="shared" si="25"/>
        <v>10</v>
      </c>
    </row>
    <row r="55" spans="1:18" ht="45" hidden="1" outlineLevel="1" x14ac:dyDescent="0.25">
      <c r="A55" s="13">
        <f t="shared" ref="A55:A61" si="26">+A54+1</f>
        <v>3</v>
      </c>
      <c r="B55" s="19" t="s">
        <v>100</v>
      </c>
      <c r="C55" s="13" t="s">
        <v>97</v>
      </c>
      <c r="D55" s="13" t="s">
        <v>101</v>
      </c>
      <c r="E55" s="13">
        <v>250</v>
      </c>
      <c r="F55" s="8">
        <f t="shared" si="1"/>
        <v>225</v>
      </c>
      <c r="G55" s="13">
        <v>225</v>
      </c>
      <c r="H55" s="13"/>
      <c r="I55" s="13"/>
      <c r="J55" s="13">
        <v>0</v>
      </c>
      <c r="K55" s="13">
        <v>25</v>
      </c>
      <c r="L55" s="13" t="s">
        <v>101</v>
      </c>
      <c r="M55" s="4">
        <f t="shared" si="15"/>
        <v>100</v>
      </c>
      <c r="N55" s="10">
        <f t="shared" si="25"/>
        <v>90</v>
      </c>
      <c r="O55" s="10">
        <f t="shared" si="25"/>
        <v>0</v>
      </c>
      <c r="P55" s="10">
        <f t="shared" si="25"/>
        <v>0</v>
      </c>
      <c r="Q55" s="10">
        <f t="shared" si="25"/>
        <v>0</v>
      </c>
      <c r="R55" s="10">
        <f t="shared" si="25"/>
        <v>10</v>
      </c>
    </row>
    <row r="56" spans="1:18" ht="45" hidden="1" outlineLevel="1" x14ac:dyDescent="0.25">
      <c r="A56" s="13">
        <f t="shared" si="26"/>
        <v>4</v>
      </c>
      <c r="B56" s="19" t="s">
        <v>102</v>
      </c>
      <c r="C56" s="13" t="s">
        <v>97</v>
      </c>
      <c r="D56" s="13" t="s">
        <v>103</v>
      </c>
      <c r="E56" s="13">
        <v>650</v>
      </c>
      <c r="F56" s="8">
        <f t="shared" si="1"/>
        <v>538.66666599999996</v>
      </c>
      <c r="G56" s="13">
        <v>538.66666599999996</v>
      </c>
      <c r="H56" s="13"/>
      <c r="I56" s="13"/>
      <c r="J56" s="13">
        <v>46.333334000000001</v>
      </c>
      <c r="K56" s="13">
        <v>65</v>
      </c>
      <c r="L56" s="13" t="s">
        <v>103</v>
      </c>
      <c r="M56" s="4">
        <f t="shared" si="15"/>
        <v>99.999999999999986</v>
      </c>
      <c r="N56" s="10">
        <f t="shared" si="25"/>
        <v>82.87179476923076</v>
      </c>
      <c r="O56" s="10">
        <f t="shared" si="25"/>
        <v>0</v>
      </c>
      <c r="P56" s="10">
        <f t="shared" si="25"/>
        <v>0</v>
      </c>
      <c r="Q56" s="10">
        <f t="shared" si="25"/>
        <v>7.1282052307692316</v>
      </c>
      <c r="R56" s="10">
        <f t="shared" si="25"/>
        <v>10</v>
      </c>
    </row>
    <row r="57" spans="1:18" ht="45" hidden="1" outlineLevel="1" x14ac:dyDescent="0.25">
      <c r="A57" s="13">
        <f t="shared" si="26"/>
        <v>5</v>
      </c>
      <c r="B57" s="19" t="s">
        <v>158</v>
      </c>
      <c r="C57" s="13" t="s">
        <v>97</v>
      </c>
      <c r="D57" s="13" t="s">
        <v>104</v>
      </c>
      <c r="E57" s="13">
        <v>1900.7999999999997</v>
      </c>
      <c r="F57" s="8">
        <f t="shared" si="1"/>
        <v>538.66666799999996</v>
      </c>
      <c r="G57" s="13">
        <v>538.66666799999996</v>
      </c>
      <c r="H57" s="13"/>
      <c r="I57" s="13"/>
      <c r="J57" s="13">
        <v>1172.053332</v>
      </c>
      <c r="K57" s="13">
        <v>190.08</v>
      </c>
      <c r="L57" s="13" t="s">
        <v>104</v>
      </c>
      <c r="M57" s="4">
        <f t="shared" si="15"/>
        <v>100</v>
      </c>
      <c r="N57" s="10">
        <f t="shared" si="25"/>
        <v>28.338945075757575</v>
      </c>
      <c r="O57" s="10">
        <f t="shared" si="25"/>
        <v>0</v>
      </c>
      <c r="P57" s="10">
        <f t="shared" si="25"/>
        <v>0</v>
      </c>
      <c r="Q57" s="10">
        <f t="shared" si="25"/>
        <v>61.661054924242428</v>
      </c>
      <c r="R57" s="10">
        <f t="shared" si="25"/>
        <v>10.000000000000002</v>
      </c>
    </row>
    <row r="58" spans="1:18" ht="45" hidden="1" outlineLevel="1" x14ac:dyDescent="0.25">
      <c r="A58" s="13">
        <f t="shared" si="26"/>
        <v>6</v>
      </c>
      <c r="B58" s="19" t="s">
        <v>105</v>
      </c>
      <c r="C58" s="13" t="s">
        <v>97</v>
      </c>
      <c r="D58" s="13" t="s">
        <v>106</v>
      </c>
      <c r="E58" s="13">
        <v>200</v>
      </c>
      <c r="F58" s="8">
        <f t="shared" si="1"/>
        <v>128.50604000000001</v>
      </c>
      <c r="G58" s="13">
        <v>128.50604000000001</v>
      </c>
      <c r="H58" s="13"/>
      <c r="I58" s="13"/>
      <c r="J58" s="13">
        <v>51.493960000000001</v>
      </c>
      <c r="K58" s="13">
        <v>20</v>
      </c>
      <c r="L58" s="13" t="s">
        <v>106</v>
      </c>
      <c r="M58" s="4">
        <f t="shared" si="15"/>
        <v>100.00000000000001</v>
      </c>
      <c r="N58" s="10">
        <f t="shared" si="25"/>
        <v>64.253020000000006</v>
      </c>
      <c r="O58" s="10">
        <f t="shared" si="25"/>
        <v>0</v>
      </c>
      <c r="P58" s="10">
        <f t="shared" si="25"/>
        <v>0</v>
      </c>
      <c r="Q58" s="10">
        <f t="shared" si="25"/>
        <v>25.746980000000004</v>
      </c>
      <c r="R58" s="10">
        <f t="shared" si="25"/>
        <v>10</v>
      </c>
    </row>
    <row r="59" spans="1:18" ht="45" hidden="1" outlineLevel="1" x14ac:dyDescent="0.25">
      <c r="A59" s="13">
        <f t="shared" si="26"/>
        <v>7</v>
      </c>
      <c r="B59" s="19" t="s">
        <v>107</v>
      </c>
      <c r="C59" s="13" t="s">
        <v>97</v>
      </c>
      <c r="D59" s="13" t="s">
        <v>43</v>
      </c>
      <c r="E59" s="13">
        <v>313.637294</v>
      </c>
      <c r="F59" s="8">
        <f t="shared" si="1"/>
        <v>282.27356500000002</v>
      </c>
      <c r="G59" s="13">
        <v>282.27356500000002</v>
      </c>
      <c r="H59" s="13"/>
      <c r="I59" s="13"/>
      <c r="J59" s="13">
        <v>31.363728999999999</v>
      </c>
      <c r="K59" s="13">
        <v>0</v>
      </c>
      <c r="L59" s="13" t="s">
        <v>43</v>
      </c>
      <c r="M59" s="4">
        <f t="shared" si="15"/>
        <v>100</v>
      </c>
      <c r="N59" s="10">
        <f t="shared" si="25"/>
        <v>90.000000127535856</v>
      </c>
      <c r="O59" s="10">
        <f t="shared" si="25"/>
        <v>0</v>
      </c>
      <c r="P59" s="10">
        <f t="shared" si="25"/>
        <v>0</v>
      </c>
      <c r="Q59" s="10">
        <f t="shared" si="25"/>
        <v>9.9999998724641461</v>
      </c>
      <c r="R59" s="10">
        <f t="shared" si="25"/>
        <v>0</v>
      </c>
    </row>
    <row r="60" spans="1:18" ht="60" hidden="1" outlineLevel="1" x14ac:dyDescent="0.25">
      <c r="A60" s="13">
        <f t="shared" si="26"/>
        <v>8</v>
      </c>
      <c r="B60" s="19" t="s">
        <v>108</v>
      </c>
      <c r="C60" s="13" t="s">
        <v>97</v>
      </c>
      <c r="D60" s="13" t="s">
        <v>109</v>
      </c>
      <c r="E60" s="13">
        <v>124.095</v>
      </c>
      <c r="F60" s="8">
        <f t="shared" si="1"/>
        <v>111.6855</v>
      </c>
      <c r="G60" s="13">
        <v>111.6855</v>
      </c>
      <c r="H60" s="13"/>
      <c r="I60" s="13"/>
      <c r="J60" s="13">
        <v>12.4095</v>
      </c>
      <c r="K60" s="13">
        <v>0</v>
      </c>
      <c r="L60" s="13" t="s">
        <v>109</v>
      </c>
      <c r="M60" s="4">
        <f t="shared" si="15"/>
        <v>100</v>
      </c>
      <c r="N60" s="10">
        <f t="shared" si="25"/>
        <v>90</v>
      </c>
      <c r="O60" s="10">
        <f t="shared" si="25"/>
        <v>0</v>
      </c>
      <c r="P60" s="10">
        <f t="shared" si="25"/>
        <v>0</v>
      </c>
      <c r="Q60" s="10">
        <f t="shared" si="25"/>
        <v>10</v>
      </c>
      <c r="R60" s="10">
        <f t="shared" si="25"/>
        <v>0</v>
      </c>
    </row>
    <row r="61" spans="1:18" ht="100.5" hidden="1" customHeight="1" outlineLevel="1" x14ac:dyDescent="0.25">
      <c r="A61" s="13">
        <f t="shared" si="26"/>
        <v>9</v>
      </c>
      <c r="B61" s="19" t="s">
        <v>110</v>
      </c>
      <c r="C61" s="13" t="s">
        <v>97</v>
      </c>
      <c r="D61" s="9" t="s">
        <v>111</v>
      </c>
      <c r="E61" s="13">
        <v>149.06700000000001</v>
      </c>
      <c r="F61" s="8">
        <f t="shared" si="1"/>
        <v>111.726435</v>
      </c>
      <c r="G61" s="13">
        <v>111.726435</v>
      </c>
      <c r="H61" s="13"/>
      <c r="I61" s="13"/>
      <c r="J61" s="13">
        <v>37.340564999999998</v>
      </c>
      <c r="K61" s="13">
        <v>0</v>
      </c>
      <c r="L61" s="9" t="s">
        <v>111</v>
      </c>
      <c r="M61" s="4">
        <f t="shared" si="15"/>
        <v>100</v>
      </c>
      <c r="N61" s="10">
        <f t="shared" si="25"/>
        <v>74.950481998027726</v>
      </c>
      <c r="O61" s="10">
        <f t="shared" si="25"/>
        <v>0</v>
      </c>
      <c r="P61" s="10">
        <f t="shared" si="25"/>
        <v>0</v>
      </c>
      <c r="Q61" s="10">
        <f t="shared" si="25"/>
        <v>25.049518001972267</v>
      </c>
      <c r="R61" s="10">
        <f t="shared" si="25"/>
        <v>0</v>
      </c>
    </row>
    <row r="62" spans="1:18" hidden="1" collapsed="1" x14ac:dyDescent="0.25">
      <c r="A62" s="20" t="s">
        <v>44</v>
      </c>
      <c r="B62" s="103" t="s">
        <v>45</v>
      </c>
      <c r="C62" s="41"/>
      <c r="D62" s="41"/>
      <c r="E62" s="41">
        <f>+SUM(E63:E76)</f>
        <v>3793.1669999999999</v>
      </c>
      <c r="F62" s="8">
        <f t="shared" si="1"/>
        <v>2287</v>
      </c>
      <c r="G62" s="41">
        <f t="shared" ref="G62:K62" si="27">+SUM(G63:G76)</f>
        <v>2287</v>
      </c>
      <c r="H62" s="41">
        <f t="shared" si="27"/>
        <v>0</v>
      </c>
      <c r="I62" s="41">
        <f t="shared" si="27"/>
        <v>0</v>
      </c>
      <c r="J62" s="41">
        <f t="shared" si="27"/>
        <v>1126.8503000000001</v>
      </c>
      <c r="K62" s="41">
        <f t="shared" si="27"/>
        <v>379.31669999999997</v>
      </c>
      <c r="L62" s="41"/>
      <c r="M62" s="4">
        <f t="shared" si="15"/>
        <v>100</v>
      </c>
      <c r="N62" s="10">
        <f t="shared" si="25"/>
        <v>60.292626188090324</v>
      </c>
      <c r="O62" s="10">
        <f t="shared" si="25"/>
        <v>0</v>
      </c>
      <c r="P62" s="10">
        <f t="shared" si="25"/>
        <v>0</v>
      </c>
      <c r="Q62" s="10">
        <f t="shared" si="25"/>
        <v>29.707373811909683</v>
      </c>
      <c r="R62" s="10">
        <f t="shared" si="25"/>
        <v>10</v>
      </c>
    </row>
    <row r="63" spans="1:18" ht="45" hidden="1" outlineLevel="1" x14ac:dyDescent="0.25">
      <c r="A63" s="22">
        <v>1</v>
      </c>
      <c r="B63" s="37" t="s">
        <v>112</v>
      </c>
      <c r="C63" s="38" t="s">
        <v>113</v>
      </c>
      <c r="D63" s="37" t="s">
        <v>114</v>
      </c>
      <c r="E63" s="39">
        <v>300</v>
      </c>
      <c r="F63" s="8">
        <f t="shared" si="1"/>
        <v>240</v>
      </c>
      <c r="G63" s="39">
        <v>240</v>
      </c>
      <c r="H63" s="39"/>
      <c r="I63" s="40"/>
      <c r="J63" s="39">
        <v>30</v>
      </c>
      <c r="K63" s="41">
        <v>30</v>
      </c>
      <c r="L63" s="37" t="s">
        <v>114</v>
      </c>
      <c r="M63" s="4">
        <f t="shared" si="15"/>
        <v>100</v>
      </c>
      <c r="N63" s="10">
        <f t="shared" si="25"/>
        <v>80</v>
      </c>
      <c r="O63" s="10">
        <f t="shared" si="25"/>
        <v>0</v>
      </c>
      <c r="P63" s="10">
        <f t="shared" si="25"/>
        <v>0</v>
      </c>
      <c r="Q63" s="10">
        <f t="shared" si="25"/>
        <v>10</v>
      </c>
      <c r="R63" s="10">
        <f t="shared" si="25"/>
        <v>10</v>
      </c>
    </row>
    <row r="64" spans="1:18" ht="45" hidden="1" outlineLevel="1" x14ac:dyDescent="0.25">
      <c r="A64" s="22">
        <v>2</v>
      </c>
      <c r="B64" s="37" t="s">
        <v>115</v>
      </c>
      <c r="C64" s="38" t="s">
        <v>113</v>
      </c>
      <c r="D64" s="37" t="s">
        <v>116</v>
      </c>
      <c r="E64" s="39">
        <v>111</v>
      </c>
      <c r="F64" s="8">
        <f t="shared" si="1"/>
        <v>88.8</v>
      </c>
      <c r="G64" s="39">
        <v>88.8</v>
      </c>
      <c r="H64" s="39"/>
      <c r="I64" s="40"/>
      <c r="J64" s="39">
        <v>11.1</v>
      </c>
      <c r="K64" s="41">
        <v>11.1</v>
      </c>
      <c r="L64" s="37" t="s">
        <v>116</v>
      </c>
      <c r="M64" s="4">
        <f t="shared" si="15"/>
        <v>100</v>
      </c>
      <c r="N64" s="10">
        <f t="shared" si="25"/>
        <v>80</v>
      </c>
      <c r="O64" s="10">
        <f t="shared" si="25"/>
        <v>0</v>
      </c>
      <c r="P64" s="10">
        <f t="shared" si="25"/>
        <v>0</v>
      </c>
      <c r="Q64" s="10">
        <f t="shared" si="25"/>
        <v>10</v>
      </c>
      <c r="R64" s="10">
        <f t="shared" si="25"/>
        <v>10</v>
      </c>
    </row>
    <row r="65" spans="1:18" ht="45" hidden="1" outlineLevel="1" x14ac:dyDescent="0.25">
      <c r="A65" s="22">
        <v>3</v>
      </c>
      <c r="B65" s="37" t="s">
        <v>117</v>
      </c>
      <c r="C65" s="38" t="s">
        <v>113</v>
      </c>
      <c r="D65" s="37" t="s">
        <v>118</v>
      </c>
      <c r="E65" s="39">
        <v>210</v>
      </c>
      <c r="F65" s="8">
        <f t="shared" si="1"/>
        <v>168</v>
      </c>
      <c r="G65" s="39">
        <v>168</v>
      </c>
      <c r="H65" s="39"/>
      <c r="I65" s="40"/>
      <c r="J65" s="39">
        <v>21</v>
      </c>
      <c r="K65" s="41">
        <v>21</v>
      </c>
      <c r="L65" s="37" t="s">
        <v>118</v>
      </c>
      <c r="M65" s="4">
        <f t="shared" si="15"/>
        <v>100</v>
      </c>
      <c r="N65" s="10">
        <f t="shared" si="25"/>
        <v>80</v>
      </c>
      <c r="O65" s="10">
        <f t="shared" si="25"/>
        <v>0</v>
      </c>
      <c r="P65" s="10">
        <f t="shared" si="25"/>
        <v>0</v>
      </c>
      <c r="Q65" s="10">
        <f t="shared" si="25"/>
        <v>10</v>
      </c>
      <c r="R65" s="10">
        <f t="shared" si="25"/>
        <v>10</v>
      </c>
    </row>
    <row r="66" spans="1:18" ht="30" hidden="1" outlineLevel="1" x14ac:dyDescent="0.25">
      <c r="A66" s="22">
        <v>4</v>
      </c>
      <c r="B66" s="37" t="s">
        <v>119</v>
      </c>
      <c r="C66" s="38" t="s">
        <v>113</v>
      </c>
      <c r="D66" s="37" t="s">
        <v>120</v>
      </c>
      <c r="E66" s="39">
        <v>317</v>
      </c>
      <c r="F66" s="8">
        <f t="shared" si="1"/>
        <v>174.2</v>
      </c>
      <c r="G66" s="39">
        <v>174.2</v>
      </c>
      <c r="H66" s="39"/>
      <c r="I66" s="40"/>
      <c r="J66" s="41">
        <v>111.1</v>
      </c>
      <c r="K66" s="41">
        <v>31.7</v>
      </c>
      <c r="L66" s="37" t="s">
        <v>120</v>
      </c>
      <c r="M66" s="4">
        <f t="shared" si="15"/>
        <v>100</v>
      </c>
      <c r="N66" s="10">
        <f t="shared" si="25"/>
        <v>54.952681388012614</v>
      </c>
      <c r="O66" s="10">
        <f t="shared" si="25"/>
        <v>0</v>
      </c>
      <c r="P66" s="10">
        <f t="shared" si="25"/>
        <v>0</v>
      </c>
      <c r="Q66" s="10">
        <f t="shared" si="25"/>
        <v>35.047318611987386</v>
      </c>
      <c r="R66" s="10">
        <f t="shared" si="25"/>
        <v>10</v>
      </c>
    </row>
    <row r="67" spans="1:18" ht="45" hidden="1" outlineLevel="1" x14ac:dyDescent="0.25">
      <c r="A67" s="22">
        <v>5</v>
      </c>
      <c r="B67" s="37" t="s">
        <v>121</v>
      </c>
      <c r="C67" s="38" t="s">
        <v>113</v>
      </c>
      <c r="D67" s="37" t="s">
        <v>122</v>
      </c>
      <c r="E67" s="39">
        <v>272.89</v>
      </c>
      <c r="F67" s="8">
        <f t="shared" si="1"/>
        <v>218.31200000000001</v>
      </c>
      <c r="G67" s="39">
        <v>218.31200000000001</v>
      </c>
      <c r="H67" s="20"/>
      <c r="I67" s="20"/>
      <c r="J67" s="42">
        <v>27.289000000000001</v>
      </c>
      <c r="K67" s="41">
        <v>27.289000000000001</v>
      </c>
      <c r="L67" s="37" t="s">
        <v>122</v>
      </c>
      <c r="M67" s="4">
        <f t="shared" si="15"/>
        <v>100</v>
      </c>
      <c r="N67" s="10">
        <f t="shared" si="25"/>
        <v>80</v>
      </c>
      <c r="O67" s="10">
        <f t="shared" si="25"/>
        <v>0</v>
      </c>
      <c r="P67" s="10">
        <f t="shared" si="25"/>
        <v>0</v>
      </c>
      <c r="Q67" s="10">
        <f t="shared" si="25"/>
        <v>10</v>
      </c>
      <c r="R67" s="10">
        <f t="shared" si="25"/>
        <v>10</v>
      </c>
    </row>
    <row r="68" spans="1:18" ht="30" hidden="1" outlineLevel="1" x14ac:dyDescent="0.25">
      <c r="A68" s="22">
        <v>6</v>
      </c>
      <c r="B68" s="37" t="s">
        <v>123</v>
      </c>
      <c r="C68" s="38" t="s">
        <v>113</v>
      </c>
      <c r="D68" s="37" t="s">
        <v>124</v>
      </c>
      <c r="E68" s="39">
        <v>339.60599999999999</v>
      </c>
      <c r="F68" s="8">
        <f t="shared" si="1"/>
        <v>271.6848</v>
      </c>
      <c r="G68" s="39">
        <v>271.6848</v>
      </c>
      <c r="H68" s="20"/>
      <c r="I68" s="20"/>
      <c r="J68" s="42">
        <v>33.960599999999999</v>
      </c>
      <c r="K68" s="41">
        <v>33.960599999999999</v>
      </c>
      <c r="L68" s="37" t="s">
        <v>124</v>
      </c>
      <c r="M68" s="4">
        <f t="shared" si="15"/>
        <v>100</v>
      </c>
      <c r="N68" s="10">
        <f t="shared" si="25"/>
        <v>80</v>
      </c>
      <c r="O68" s="10">
        <f t="shared" si="25"/>
        <v>0</v>
      </c>
      <c r="P68" s="10">
        <f t="shared" si="25"/>
        <v>0</v>
      </c>
      <c r="Q68" s="10">
        <f t="shared" si="25"/>
        <v>10</v>
      </c>
      <c r="R68" s="10">
        <f t="shared" si="25"/>
        <v>10</v>
      </c>
    </row>
    <row r="69" spans="1:18" ht="30" hidden="1" outlineLevel="1" x14ac:dyDescent="0.25">
      <c r="A69" s="22">
        <v>7</v>
      </c>
      <c r="B69" s="37" t="s">
        <v>159</v>
      </c>
      <c r="C69" s="38" t="s">
        <v>113</v>
      </c>
      <c r="D69" s="37" t="s">
        <v>125</v>
      </c>
      <c r="E69" s="39">
        <v>129.67099999999999</v>
      </c>
      <c r="F69" s="8">
        <f t="shared" si="1"/>
        <v>103.7368</v>
      </c>
      <c r="G69" s="39">
        <v>103.7368</v>
      </c>
      <c r="H69" s="20"/>
      <c r="I69" s="20"/>
      <c r="J69" s="42">
        <v>12.9671</v>
      </c>
      <c r="K69" s="41">
        <v>12.9671</v>
      </c>
      <c r="L69" s="37" t="s">
        <v>125</v>
      </c>
      <c r="M69" s="4">
        <f t="shared" si="15"/>
        <v>100</v>
      </c>
      <c r="N69" s="10">
        <f t="shared" ref="N69:R80" si="28">+G69/$E69*100</f>
        <v>80</v>
      </c>
      <c r="O69" s="10">
        <f t="shared" si="28"/>
        <v>0</v>
      </c>
      <c r="P69" s="10">
        <f t="shared" si="28"/>
        <v>0</v>
      </c>
      <c r="Q69" s="10">
        <f t="shared" si="28"/>
        <v>10</v>
      </c>
      <c r="R69" s="10">
        <f t="shared" si="28"/>
        <v>10</v>
      </c>
    </row>
    <row r="70" spans="1:18" ht="30" hidden="1" outlineLevel="1" x14ac:dyDescent="0.25">
      <c r="A70" s="22">
        <v>8</v>
      </c>
      <c r="B70" s="37" t="s">
        <v>126</v>
      </c>
      <c r="C70" s="38" t="s">
        <v>113</v>
      </c>
      <c r="D70" s="37" t="s">
        <v>127</v>
      </c>
      <c r="E70" s="39">
        <v>210</v>
      </c>
      <c r="F70" s="8">
        <f t="shared" si="1"/>
        <v>168</v>
      </c>
      <c r="G70" s="39">
        <v>168</v>
      </c>
      <c r="H70" s="20"/>
      <c r="I70" s="20"/>
      <c r="J70" s="42">
        <v>21</v>
      </c>
      <c r="K70" s="41">
        <v>21</v>
      </c>
      <c r="L70" s="37" t="s">
        <v>127</v>
      </c>
      <c r="M70" s="4">
        <f t="shared" si="15"/>
        <v>100</v>
      </c>
      <c r="N70" s="10">
        <f t="shared" si="28"/>
        <v>80</v>
      </c>
      <c r="O70" s="10">
        <f t="shared" si="28"/>
        <v>0</v>
      </c>
      <c r="P70" s="10">
        <f t="shared" si="28"/>
        <v>0</v>
      </c>
      <c r="Q70" s="10">
        <f t="shared" si="28"/>
        <v>10</v>
      </c>
      <c r="R70" s="10">
        <f t="shared" si="28"/>
        <v>10</v>
      </c>
    </row>
    <row r="71" spans="1:18" ht="30" hidden="1" outlineLevel="1" x14ac:dyDescent="0.25">
      <c r="A71" s="22">
        <v>9</v>
      </c>
      <c r="B71" s="37" t="s">
        <v>128</v>
      </c>
      <c r="C71" s="38" t="s">
        <v>113</v>
      </c>
      <c r="D71" s="37" t="s">
        <v>129</v>
      </c>
      <c r="E71" s="39">
        <v>194</v>
      </c>
      <c r="F71" s="8">
        <f t="shared" si="1"/>
        <v>155.19999999999999</v>
      </c>
      <c r="G71" s="39">
        <v>155.19999999999999</v>
      </c>
      <c r="H71" s="20"/>
      <c r="I71" s="20"/>
      <c r="J71" s="42">
        <v>19.399999999999999</v>
      </c>
      <c r="K71" s="41">
        <v>19.399999999999999</v>
      </c>
      <c r="L71" s="37" t="s">
        <v>129</v>
      </c>
      <c r="M71" s="4">
        <f t="shared" si="15"/>
        <v>100</v>
      </c>
      <c r="N71" s="10">
        <f t="shared" si="28"/>
        <v>80</v>
      </c>
      <c r="O71" s="10">
        <f t="shared" si="28"/>
        <v>0</v>
      </c>
      <c r="P71" s="10">
        <f t="shared" si="28"/>
        <v>0</v>
      </c>
      <c r="Q71" s="10">
        <f t="shared" si="28"/>
        <v>10</v>
      </c>
      <c r="R71" s="10">
        <f t="shared" si="28"/>
        <v>10</v>
      </c>
    </row>
    <row r="72" spans="1:18" ht="30" hidden="1" outlineLevel="1" x14ac:dyDescent="0.25">
      <c r="A72" s="22">
        <v>10</v>
      </c>
      <c r="B72" s="37" t="s">
        <v>130</v>
      </c>
      <c r="C72" s="38" t="s">
        <v>113</v>
      </c>
      <c r="D72" s="37" t="s">
        <v>129</v>
      </c>
      <c r="E72" s="39">
        <v>123</v>
      </c>
      <c r="F72" s="8">
        <f t="shared" ref="F72:F80" si="29">+G72+H72</f>
        <v>98.4</v>
      </c>
      <c r="G72" s="39">
        <v>98.4</v>
      </c>
      <c r="H72" s="20"/>
      <c r="I72" s="20"/>
      <c r="J72" s="42">
        <v>12.3</v>
      </c>
      <c r="K72" s="41">
        <v>12.3</v>
      </c>
      <c r="L72" s="37" t="s">
        <v>129</v>
      </c>
      <c r="M72" s="4">
        <f t="shared" si="15"/>
        <v>100</v>
      </c>
      <c r="N72" s="10">
        <f t="shared" si="28"/>
        <v>80</v>
      </c>
      <c r="O72" s="10">
        <f t="shared" si="28"/>
        <v>0</v>
      </c>
      <c r="P72" s="10">
        <f t="shared" si="28"/>
        <v>0</v>
      </c>
      <c r="Q72" s="10">
        <f t="shared" si="28"/>
        <v>10</v>
      </c>
      <c r="R72" s="10">
        <f t="shared" si="28"/>
        <v>10</v>
      </c>
    </row>
    <row r="73" spans="1:18" ht="30" hidden="1" outlineLevel="1" x14ac:dyDescent="0.25">
      <c r="A73" s="22">
        <v>11</v>
      </c>
      <c r="B73" s="37" t="s">
        <v>131</v>
      </c>
      <c r="C73" s="38" t="s">
        <v>113</v>
      </c>
      <c r="D73" s="37" t="s">
        <v>132</v>
      </c>
      <c r="E73" s="39">
        <v>100</v>
      </c>
      <c r="F73" s="8">
        <f t="shared" si="29"/>
        <v>80</v>
      </c>
      <c r="G73" s="39">
        <v>80</v>
      </c>
      <c r="H73" s="20"/>
      <c r="I73" s="20"/>
      <c r="J73" s="42">
        <v>10</v>
      </c>
      <c r="K73" s="41">
        <v>10</v>
      </c>
      <c r="L73" s="37" t="s">
        <v>132</v>
      </c>
      <c r="M73" s="4">
        <f t="shared" si="15"/>
        <v>100</v>
      </c>
      <c r="N73" s="10">
        <f t="shared" si="28"/>
        <v>80</v>
      </c>
      <c r="O73" s="10">
        <f t="shared" si="28"/>
        <v>0</v>
      </c>
      <c r="P73" s="10">
        <f t="shared" si="28"/>
        <v>0</v>
      </c>
      <c r="Q73" s="10">
        <f t="shared" si="28"/>
        <v>10</v>
      </c>
      <c r="R73" s="10">
        <f t="shared" si="28"/>
        <v>10</v>
      </c>
    </row>
    <row r="74" spans="1:18" ht="30" hidden="1" outlineLevel="1" x14ac:dyDescent="0.25">
      <c r="A74" s="22">
        <v>12</v>
      </c>
      <c r="B74" s="37" t="s">
        <v>133</v>
      </c>
      <c r="C74" s="38" t="s">
        <v>113</v>
      </c>
      <c r="D74" s="37" t="s">
        <v>132</v>
      </c>
      <c r="E74" s="39">
        <v>100</v>
      </c>
      <c r="F74" s="8">
        <f t="shared" si="29"/>
        <v>80</v>
      </c>
      <c r="G74" s="39">
        <v>80</v>
      </c>
      <c r="H74" s="20"/>
      <c r="I74" s="20"/>
      <c r="J74" s="42">
        <v>10</v>
      </c>
      <c r="K74" s="41">
        <v>10</v>
      </c>
      <c r="L74" s="37" t="s">
        <v>132</v>
      </c>
      <c r="M74" s="4">
        <f t="shared" si="15"/>
        <v>100</v>
      </c>
      <c r="N74" s="10">
        <f t="shared" si="28"/>
        <v>80</v>
      </c>
      <c r="O74" s="10">
        <f t="shared" si="28"/>
        <v>0</v>
      </c>
      <c r="P74" s="10">
        <f t="shared" si="28"/>
        <v>0</v>
      </c>
      <c r="Q74" s="10">
        <f t="shared" si="28"/>
        <v>10</v>
      </c>
      <c r="R74" s="10">
        <f t="shared" si="28"/>
        <v>10</v>
      </c>
    </row>
    <row r="75" spans="1:18" s="45" customFormat="1" ht="55.5" hidden="1" customHeight="1" outlineLevel="1" x14ac:dyDescent="0.25">
      <c r="A75" s="22">
        <v>13</v>
      </c>
      <c r="B75" s="37" t="s">
        <v>134</v>
      </c>
      <c r="C75" s="38" t="s">
        <v>113</v>
      </c>
      <c r="D75" s="8" t="s">
        <v>135</v>
      </c>
      <c r="E75" s="39">
        <v>135</v>
      </c>
      <c r="F75" s="8">
        <f t="shared" si="29"/>
        <v>108</v>
      </c>
      <c r="G75" s="39">
        <v>108</v>
      </c>
      <c r="H75" s="39"/>
      <c r="I75" s="39"/>
      <c r="J75" s="39">
        <v>13.5</v>
      </c>
      <c r="K75" s="42">
        <v>13.5</v>
      </c>
      <c r="L75" s="8" t="s">
        <v>135</v>
      </c>
      <c r="M75" s="71">
        <f t="shared" si="15"/>
        <v>100</v>
      </c>
      <c r="N75" s="44">
        <f t="shared" si="28"/>
        <v>80</v>
      </c>
      <c r="O75" s="44">
        <f t="shared" si="28"/>
        <v>0</v>
      </c>
      <c r="P75" s="44">
        <f t="shared" si="28"/>
        <v>0</v>
      </c>
      <c r="Q75" s="44">
        <f t="shared" si="28"/>
        <v>10</v>
      </c>
      <c r="R75" s="44">
        <f t="shared" si="28"/>
        <v>10</v>
      </c>
    </row>
    <row r="76" spans="1:18" ht="90" hidden="1" outlineLevel="1" x14ac:dyDescent="0.25">
      <c r="A76" s="22">
        <v>14</v>
      </c>
      <c r="B76" s="37" t="s">
        <v>136</v>
      </c>
      <c r="C76" s="38" t="s">
        <v>113</v>
      </c>
      <c r="D76" s="9" t="s">
        <v>137</v>
      </c>
      <c r="E76" s="39">
        <v>1251</v>
      </c>
      <c r="F76" s="8">
        <f t="shared" si="29"/>
        <v>332.66640000000001</v>
      </c>
      <c r="G76" s="39">
        <v>332.66640000000001</v>
      </c>
      <c r="H76" s="39"/>
      <c r="I76" s="39"/>
      <c r="J76" s="39">
        <v>793.23360000000002</v>
      </c>
      <c r="K76" s="46">
        <v>125.1</v>
      </c>
      <c r="L76" s="9" t="s">
        <v>137</v>
      </c>
      <c r="M76" s="4">
        <f t="shared" si="15"/>
        <v>100</v>
      </c>
      <c r="N76" s="10">
        <f t="shared" si="28"/>
        <v>26.592038369304554</v>
      </c>
      <c r="O76" s="10">
        <f t="shared" si="28"/>
        <v>0</v>
      </c>
      <c r="P76" s="10">
        <f t="shared" si="28"/>
        <v>0</v>
      </c>
      <c r="Q76" s="10">
        <f t="shared" si="28"/>
        <v>63.407961630695439</v>
      </c>
      <c r="R76" s="10">
        <f t="shared" si="28"/>
        <v>10</v>
      </c>
    </row>
    <row r="77" spans="1:18" hidden="1" collapsed="1" x14ac:dyDescent="0.25">
      <c r="A77" s="20" t="s">
        <v>46</v>
      </c>
      <c r="B77" s="103" t="s">
        <v>47</v>
      </c>
      <c r="C77" s="41"/>
      <c r="D77" s="41"/>
      <c r="E77" s="41">
        <f>+SUM(E78:E80)</f>
        <v>3531.75</v>
      </c>
      <c r="F77" s="8">
        <f t="shared" si="29"/>
        <v>2287</v>
      </c>
      <c r="G77" s="41">
        <f t="shared" ref="G77:K77" si="30">+SUM(G78:G80)</f>
        <v>2287</v>
      </c>
      <c r="H77" s="41">
        <f t="shared" si="30"/>
        <v>0</v>
      </c>
      <c r="I77" s="41">
        <f t="shared" si="30"/>
        <v>0</v>
      </c>
      <c r="J77" s="41">
        <f t="shared" si="30"/>
        <v>891.875</v>
      </c>
      <c r="K77" s="41">
        <f t="shared" si="30"/>
        <v>352.875</v>
      </c>
      <c r="L77" s="41"/>
      <c r="M77" s="4">
        <f t="shared" si="15"/>
        <v>99.999999999999986</v>
      </c>
      <c r="N77" s="10">
        <f t="shared" si="28"/>
        <v>64.7554328590642</v>
      </c>
      <c r="O77" s="10">
        <f t="shared" si="28"/>
        <v>0</v>
      </c>
      <c r="P77" s="10">
        <f t="shared" si="28"/>
        <v>0</v>
      </c>
      <c r="Q77" s="10">
        <f t="shared" si="28"/>
        <v>25.253061513414032</v>
      </c>
      <c r="R77" s="10">
        <f t="shared" si="28"/>
        <v>9.9915056275217662</v>
      </c>
    </row>
    <row r="78" spans="1:18" ht="30" hidden="1" outlineLevel="1" x14ac:dyDescent="0.25">
      <c r="A78" s="22">
        <v>1</v>
      </c>
      <c r="B78" s="37" t="s">
        <v>138</v>
      </c>
      <c r="C78" s="38" t="s">
        <v>139</v>
      </c>
      <c r="D78" s="37" t="s">
        <v>140</v>
      </c>
      <c r="E78" s="30">
        <v>838.75</v>
      </c>
      <c r="F78" s="98">
        <f t="shared" si="29"/>
        <v>671</v>
      </c>
      <c r="G78" s="39">
        <v>671</v>
      </c>
      <c r="H78" s="39"/>
      <c r="I78" s="39"/>
      <c r="J78" s="39">
        <v>83.875</v>
      </c>
      <c r="K78" s="46">
        <v>83.875</v>
      </c>
      <c r="L78" s="37" t="s">
        <v>140</v>
      </c>
      <c r="M78" s="7">
        <f t="shared" si="15"/>
        <v>100</v>
      </c>
      <c r="N78" s="10">
        <f t="shared" si="28"/>
        <v>80</v>
      </c>
      <c r="O78" s="10">
        <f t="shared" si="28"/>
        <v>0</v>
      </c>
      <c r="P78" s="10">
        <f t="shared" si="28"/>
        <v>0</v>
      </c>
      <c r="Q78" s="10">
        <f t="shared" si="28"/>
        <v>10</v>
      </c>
      <c r="R78" s="10">
        <f t="shared" si="28"/>
        <v>10</v>
      </c>
    </row>
    <row r="79" spans="1:18" ht="30" hidden="1" outlineLevel="1" x14ac:dyDescent="0.25">
      <c r="A79" s="22">
        <v>2</v>
      </c>
      <c r="B79" s="37" t="s">
        <v>141</v>
      </c>
      <c r="C79" s="38" t="s">
        <v>139</v>
      </c>
      <c r="D79" s="37"/>
      <c r="E79" s="30">
        <v>2193</v>
      </c>
      <c r="F79" s="98">
        <f t="shared" si="29"/>
        <v>1316</v>
      </c>
      <c r="G79" s="39">
        <v>1316</v>
      </c>
      <c r="H79" s="39"/>
      <c r="I79" s="39"/>
      <c r="J79" s="39">
        <v>658</v>
      </c>
      <c r="K79" s="46">
        <v>219</v>
      </c>
      <c r="L79" s="37"/>
      <c r="M79" s="7">
        <f t="shared" si="15"/>
        <v>100</v>
      </c>
      <c r="N79" s="10">
        <f t="shared" si="28"/>
        <v>60.009119927040587</v>
      </c>
      <c r="O79" s="10">
        <f t="shared" si="28"/>
        <v>0</v>
      </c>
      <c r="P79" s="10">
        <f t="shared" si="28"/>
        <v>0</v>
      </c>
      <c r="Q79" s="10">
        <f t="shared" si="28"/>
        <v>30.004559963520293</v>
      </c>
      <c r="R79" s="10">
        <f t="shared" si="28"/>
        <v>9.9863201094391236</v>
      </c>
    </row>
    <row r="80" spans="1:18" ht="30" hidden="1" outlineLevel="1" x14ac:dyDescent="0.25">
      <c r="A80" s="22">
        <v>3</v>
      </c>
      <c r="B80" s="37" t="s">
        <v>142</v>
      </c>
      <c r="C80" s="38" t="s">
        <v>139</v>
      </c>
      <c r="D80" s="37"/>
      <c r="E80" s="30">
        <v>500</v>
      </c>
      <c r="F80" s="98">
        <f t="shared" si="29"/>
        <v>300</v>
      </c>
      <c r="G80" s="39">
        <v>300</v>
      </c>
      <c r="H80" s="39"/>
      <c r="I80" s="39"/>
      <c r="J80" s="39">
        <v>150</v>
      </c>
      <c r="K80" s="46">
        <v>50</v>
      </c>
      <c r="L80" s="37"/>
      <c r="M80" s="7">
        <f t="shared" si="15"/>
        <v>100</v>
      </c>
      <c r="N80" s="10">
        <f t="shared" si="28"/>
        <v>60</v>
      </c>
      <c r="O80" s="10">
        <f t="shared" si="28"/>
        <v>0</v>
      </c>
      <c r="P80" s="10">
        <f t="shared" si="28"/>
        <v>0</v>
      </c>
      <c r="Q80" s="10">
        <f t="shared" si="28"/>
        <v>30</v>
      </c>
      <c r="R80" s="10">
        <f t="shared" si="28"/>
        <v>10</v>
      </c>
    </row>
    <row r="81" spans="1:25" hidden="1" outlineLevel="1" x14ac:dyDescent="0.25"/>
    <row r="82" spans="1:25" s="23" customFormat="1" collapsed="1" x14ac:dyDescent="0.25">
      <c r="B82" s="90"/>
      <c r="C82" s="1"/>
      <c r="D82" s="1"/>
      <c r="E82" s="104"/>
      <c r="F82" s="24"/>
      <c r="G82" s="24"/>
      <c r="H82" s="24"/>
      <c r="I82" s="24"/>
      <c r="J82" s="24"/>
      <c r="K82" s="24"/>
      <c r="L82" s="1"/>
      <c r="M82" s="1"/>
      <c r="N82" s="1"/>
      <c r="O82" s="1"/>
      <c r="P82" s="1"/>
      <c r="Q82" s="1"/>
      <c r="R82" s="1"/>
      <c r="S82" s="1"/>
      <c r="T82" s="1"/>
      <c r="U82" s="1"/>
      <c r="V82" s="1"/>
      <c r="W82" s="1"/>
      <c r="X82" s="1"/>
      <c r="Y82" s="1"/>
    </row>
    <row r="83" spans="1:25" ht="18.75" hidden="1" customHeight="1" x14ac:dyDescent="0.25"/>
    <row r="84" spans="1:25" hidden="1" x14ac:dyDescent="0.25"/>
    <row r="85" spans="1:25" hidden="1" x14ac:dyDescent="0.25"/>
    <row r="86" spans="1:25" hidden="1" x14ac:dyDescent="0.25">
      <c r="A86" s="8" t="s">
        <v>19</v>
      </c>
      <c r="B86" s="8" t="s">
        <v>30</v>
      </c>
      <c r="E86" s="96">
        <v>448.5</v>
      </c>
      <c r="F86" s="42">
        <v>448.5</v>
      </c>
      <c r="G86" s="42">
        <v>246.5</v>
      </c>
      <c r="H86" s="42">
        <v>202</v>
      </c>
    </row>
    <row r="87" spans="1:25" hidden="1" x14ac:dyDescent="0.25">
      <c r="A87" s="8" t="s">
        <v>25</v>
      </c>
      <c r="B87" s="8" t="s">
        <v>28</v>
      </c>
      <c r="E87" s="104">
        <v>40</v>
      </c>
      <c r="F87" s="24">
        <v>40</v>
      </c>
      <c r="G87" s="24">
        <v>40</v>
      </c>
    </row>
    <row r="88" spans="1:25" hidden="1" x14ac:dyDescent="0.25">
      <c r="A88" s="8" t="s">
        <v>37</v>
      </c>
      <c r="B88" s="8" t="s">
        <v>38</v>
      </c>
      <c r="E88" s="104">
        <v>280</v>
      </c>
      <c r="F88" s="24">
        <v>280</v>
      </c>
      <c r="G88" s="24">
        <v>280</v>
      </c>
    </row>
    <row r="89" spans="1:25" hidden="1" x14ac:dyDescent="0.25">
      <c r="A89" s="8" t="s">
        <v>39</v>
      </c>
      <c r="B89" s="8" t="s">
        <v>22</v>
      </c>
      <c r="E89" s="98">
        <v>734.5</v>
      </c>
      <c r="F89" s="8">
        <v>734.5</v>
      </c>
      <c r="G89" s="8">
        <v>638.5</v>
      </c>
      <c r="H89" s="8">
        <v>96</v>
      </c>
    </row>
    <row r="90" spans="1:25" ht="30" hidden="1" x14ac:dyDescent="0.25">
      <c r="A90" s="8" t="s">
        <v>46</v>
      </c>
      <c r="B90" s="8" t="s">
        <v>47</v>
      </c>
      <c r="E90" s="104">
        <v>320</v>
      </c>
      <c r="F90" s="24">
        <v>320</v>
      </c>
      <c r="G90" s="24">
        <v>320</v>
      </c>
    </row>
    <row r="91" spans="1:25" ht="30" hidden="1" x14ac:dyDescent="0.25">
      <c r="A91" s="8" t="s">
        <v>166</v>
      </c>
      <c r="B91" s="8" t="s">
        <v>53</v>
      </c>
      <c r="E91" s="104">
        <v>280</v>
      </c>
      <c r="F91" s="24">
        <v>280</v>
      </c>
      <c r="G91" s="24">
        <v>280</v>
      </c>
    </row>
    <row r="92" spans="1:25" hidden="1" x14ac:dyDescent="0.25"/>
    <row r="93" spans="1:25" hidden="1" x14ac:dyDescent="0.25"/>
    <row r="94" spans="1:25" hidden="1" x14ac:dyDescent="0.25">
      <c r="A94" s="23" t="s">
        <v>19</v>
      </c>
      <c r="B94" s="90" t="s">
        <v>30</v>
      </c>
      <c r="E94" s="104">
        <v>548</v>
      </c>
      <c r="F94" s="24">
        <v>548</v>
      </c>
      <c r="G94" s="24">
        <v>374</v>
      </c>
      <c r="H94" s="24">
        <v>174</v>
      </c>
    </row>
    <row r="95" spans="1:25" hidden="1" x14ac:dyDescent="0.25">
      <c r="A95" s="23" t="s">
        <v>25</v>
      </c>
      <c r="B95" s="90" t="s">
        <v>28</v>
      </c>
      <c r="E95" s="104">
        <v>20</v>
      </c>
      <c r="F95" s="24">
        <v>20</v>
      </c>
      <c r="H95" s="24">
        <v>20</v>
      </c>
    </row>
    <row r="96" spans="1:25" hidden="1" x14ac:dyDescent="0.25">
      <c r="A96" s="23" t="s">
        <v>37</v>
      </c>
      <c r="B96" s="90" t="s">
        <v>38</v>
      </c>
      <c r="E96" s="104">
        <v>69</v>
      </c>
      <c r="F96" s="24">
        <v>69</v>
      </c>
      <c r="H96" s="24">
        <v>69</v>
      </c>
    </row>
    <row r="97" spans="1:8" hidden="1" x14ac:dyDescent="0.25">
      <c r="A97" s="23" t="s">
        <v>39</v>
      </c>
      <c r="B97" s="90" t="s">
        <v>22</v>
      </c>
      <c r="E97" s="104">
        <v>20</v>
      </c>
      <c r="F97" s="24">
        <v>20</v>
      </c>
      <c r="H97" s="24">
        <v>20</v>
      </c>
    </row>
    <row r="98" spans="1:8" hidden="1" x14ac:dyDescent="0.25">
      <c r="A98" s="23" t="s">
        <v>46</v>
      </c>
      <c r="B98" s="90" t="s">
        <v>47</v>
      </c>
      <c r="E98" s="104">
        <v>69</v>
      </c>
      <c r="F98" s="24">
        <v>69</v>
      </c>
      <c r="H98" s="24">
        <v>69</v>
      </c>
    </row>
    <row r="99" spans="1:8" hidden="1" x14ac:dyDescent="0.25">
      <c r="A99" s="23" t="s">
        <v>166</v>
      </c>
      <c r="B99" s="90" t="s">
        <v>53</v>
      </c>
      <c r="E99" s="104">
        <v>714</v>
      </c>
      <c r="F99" s="24">
        <v>714</v>
      </c>
      <c r="G99" s="24">
        <v>611</v>
      </c>
      <c r="H99" s="24">
        <v>103</v>
      </c>
    </row>
    <row r="100" spans="1:8" hidden="1" x14ac:dyDescent="0.25"/>
    <row r="101" spans="1:8" hidden="1" x14ac:dyDescent="0.25"/>
    <row r="102" spans="1:8" hidden="1" x14ac:dyDescent="0.25"/>
  </sheetData>
  <mergeCells count="18">
    <mergeCell ref="B9:D9"/>
    <mergeCell ref="B16:D16"/>
    <mergeCell ref="B23:D23"/>
    <mergeCell ref="A3:H3"/>
    <mergeCell ref="F5:F6"/>
    <mergeCell ref="G5:H5"/>
    <mergeCell ref="B7:D7"/>
    <mergeCell ref="B8:D8"/>
    <mergeCell ref="A2:L2"/>
    <mergeCell ref="G4:L4"/>
    <mergeCell ref="A5:A6"/>
    <mergeCell ref="B5:B6"/>
    <mergeCell ref="C5:C6"/>
    <mergeCell ref="D5:D6"/>
    <mergeCell ref="E5:E6"/>
    <mergeCell ref="L5:L6"/>
    <mergeCell ref="I5:I6"/>
    <mergeCell ref="J5:K5"/>
  </mergeCells>
  <pageMargins left="0.68" right="0.48" top="0.43307086614173229" bottom="0.45" header="0.43" footer="0.43307086614173229"/>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tabSelected="1" zoomScale="85" zoomScaleNormal="85" workbookViewId="0">
      <pane xSplit="4" ySplit="6" topLeftCell="E7" activePane="bottomRight" state="frozen"/>
      <selection pane="topRight" activeCell="E1" sqref="E1"/>
      <selection pane="bottomLeft" activeCell="A6" sqref="A6"/>
      <selection pane="bottomRight" activeCell="AC26" sqref="AC26"/>
    </sheetView>
  </sheetViews>
  <sheetFormatPr defaultRowHeight="15" outlineLevelRow="1" x14ac:dyDescent="0.25"/>
  <cols>
    <col min="1" max="1" width="6.28515625" style="23" customWidth="1"/>
    <col min="2" max="2" width="46.140625" style="90" customWidth="1"/>
    <col min="3" max="3" width="7.7109375" style="1" hidden="1" customWidth="1"/>
    <col min="4" max="4" width="2.5703125" style="1" hidden="1" customWidth="1"/>
    <col min="5" max="5" width="14.7109375" style="104" hidden="1" customWidth="1"/>
    <col min="6" max="6" width="22.42578125" style="24" hidden="1" customWidth="1"/>
    <col min="7" max="7" width="38" style="24" customWidth="1"/>
    <col min="8" max="8" width="27.7109375" style="24" hidden="1" customWidth="1"/>
    <col min="9" max="9" width="7.5703125" style="24" hidden="1" customWidth="1"/>
    <col min="10" max="10" width="8.85546875" style="24" hidden="1" customWidth="1"/>
    <col min="11" max="11" width="9" style="24" hidden="1" customWidth="1"/>
    <col min="12" max="12" width="59.85546875" style="1" hidden="1" customWidth="1"/>
    <col min="13" max="13" width="8.5703125" style="1" hidden="1" customWidth="1"/>
    <col min="14" max="19" width="0" style="1" hidden="1" customWidth="1"/>
    <col min="20" max="20" width="20.140625" style="1" customWidth="1"/>
    <col min="21" max="21" width="9.5703125" style="1" hidden="1" customWidth="1"/>
    <col min="22" max="22" width="10.42578125" style="1" hidden="1" customWidth="1"/>
    <col min="23" max="23" width="10.5703125" style="1" hidden="1" customWidth="1"/>
    <col min="24" max="24" width="9.7109375" style="1" hidden="1" customWidth="1"/>
    <col min="25" max="28" width="0" style="1" hidden="1" customWidth="1"/>
    <col min="29" max="16384" width="9.140625" style="1"/>
  </cols>
  <sheetData>
    <row r="1" spans="1:25" hidden="1" x14ac:dyDescent="0.25"/>
    <row r="2" spans="1:25" s="14" customFormat="1" ht="34.5" customHeight="1" x14ac:dyDescent="0.25">
      <c r="A2" s="188" t="s">
        <v>168</v>
      </c>
      <c r="B2" s="188"/>
      <c r="C2" s="188"/>
      <c r="D2" s="188"/>
      <c r="E2" s="188"/>
      <c r="F2" s="188"/>
      <c r="G2" s="188"/>
      <c r="H2" s="188"/>
      <c r="I2" s="188"/>
      <c r="J2" s="188"/>
      <c r="K2" s="188"/>
      <c r="L2" s="188"/>
    </row>
    <row r="3" spans="1:25" s="14" customFormat="1" ht="38.25" customHeight="1" x14ac:dyDescent="0.25">
      <c r="A3" s="192" t="str">
        <f>+'Biểu 1_TH'!A4:K4</f>
        <v>(Kèm theo Nghị quyết số           /NQ-HĐND ngày     /10/2022 của HĐND Thành phố)</v>
      </c>
      <c r="B3" s="192"/>
      <c r="C3" s="192"/>
      <c r="D3" s="192"/>
      <c r="E3" s="192"/>
      <c r="F3" s="192"/>
      <c r="G3" s="192"/>
      <c r="H3" s="130"/>
      <c r="I3" s="130"/>
      <c r="J3" s="130"/>
      <c r="K3" s="130"/>
      <c r="L3" s="130"/>
    </row>
    <row r="4" spans="1:25" ht="38.25" customHeight="1" x14ac:dyDescent="0.25">
      <c r="A4" s="131"/>
      <c r="B4" s="132"/>
      <c r="C4" s="133"/>
      <c r="D4" s="133"/>
      <c r="E4" s="134"/>
      <c r="F4" s="135"/>
      <c r="G4" s="189" t="s">
        <v>178</v>
      </c>
      <c r="H4" s="189"/>
      <c r="I4" s="190"/>
      <c r="J4" s="190"/>
      <c r="K4" s="190"/>
      <c r="L4" s="190"/>
    </row>
    <row r="5" spans="1:25" ht="38.25" customHeight="1" x14ac:dyDescent="0.25">
      <c r="A5" s="191" t="s">
        <v>2</v>
      </c>
      <c r="B5" s="191" t="s">
        <v>161</v>
      </c>
      <c r="C5" s="191" t="s">
        <v>4</v>
      </c>
      <c r="D5" s="191" t="s">
        <v>5</v>
      </c>
      <c r="E5" s="191" t="s">
        <v>6</v>
      </c>
      <c r="F5" s="191" t="s">
        <v>9</v>
      </c>
      <c r="G5" s="191" t="s">
        <v>171</v>
      </c>
      <c r="H5" s="191"/>
      <c r="I5" s="136"/>
      <c r="J5" s="136"/>
      <c r="K5" s="137"/>
      <c r="L5" s="191" t="s">
        <v>8</v>
      </c>
    </row>
    <row r="6" spans="1:25" ht="38.25" customHeight="1" x14ac:dyDescent="0.25">
      <c r="A6" s="191"/>
      <c r="B6" s="191"/>
      <c r="C6" s="191"/>
      <c r="D6" s="191"/>
      <c r="E6" s="191"/>
      <c r="F6" s="191"/>
      <c r="G6" s="138" t="s">
        <v>10</v>
      </c>
      <c r="H6" s="138" t="s">
        <v>11</v>
      </c>
      <c r="I6" s="139" t="s">
        <v>12</v>
      </c>
      <c r="J6" s="138" t="s">
        <v>13</v>
      </c>
      <c r="K6" s="138" t="s">
        <v>14</v>
      </c>
      <c r="L6" s="191"/>
    </row>
    <row r="7" spans="1:25" ht="44.25" customHeight="1" x14ac:dyDescent="0.25">
      <c r="A7" s="138"/>
      <c r="B7" s="193" t="s">
        <v>49</v>
      </c>
      <c r="C7" s="193"/>
      <c r="D7" s="193"/>
      <c r="E7" s="138" t="e">
        <f t="shared" ref="E7:K7" si="0">+E8+E23</f>
        <v>#REF!</v>
      </c>
      <c r="F7" s="138">
        <f>+G7+H7</f>
        <v>21839</v>
      </c>
      <c r="G7" s="138">
        <f t="shared" si="0"/>
        <v>21086</v>
      </c>
      <c r="H7" s="138">
        <f t="shared" si="0"/>
        <v>753</v>
      </c>
      <c r="I7" s="138" t="e">
        <f t="shared" si="0"/>
        <v>#REF!</v>
      </c>
      <c r="J7" s="138" t="e">
        <f t="shared" si="0"/>
        <v>#REF!</v>
      </c>
      <c r="K7" s="138" t="e">
        <f t="shared" si="0"/>
        <v>#REF!</v>
      </c>
      <c r="L7" s="140" t="s">
        <v>16</v>
      </c>
      <c r="V7" s="25">
        <f>+G7-'[2]21-25'!D6</f>
        <v>0</v>
      </c>
      <c r="W7" s="4">
        <f>+H7-'[2]21-25'!G6</f>
        <v>0</v>
      </c>
    </row>
    <row r="8" spans="1:25" ht="60" customHeight="1" x14ac:dyDescent="0.25">
      <c r="A8" s="138" t="s">
        <v>17</v>
      </c>
      <c r="B8" s="193" t="s">
        <v>18</v>
      </c>
      <c r="C8" s="193"/>
      <c r="D8" s="193"/>
      <c r="E8" s="138">
        <f>+E9+E16</f>
        <v>3543</v>
      </c>
      <c r="F8" s="138">
        <f t="shared" ref="F8:F22" si="1">+G8+H8</f>
        <v>3543</v>
      </c>
      <c r="G8" s="138">
        <f t="shared" ref="G8" si="2">+G9+G16</f>
        <v>2790</v>
      </c>
      <c r="H8" s="138">
        <f>+H9+H16</f>
        <v>753</v>
      </c>
      <c r="I8" s="138">
        <f>+I9+I16</f>
        <v>0</v>
      </c>
      <c r="J8" s="138">
        <f t="shared" ref="J8:K8" si="3">+J9+J16</f>
        <v>0</v>
      </c>
      <c r="K8" s="138">
        <f t="shared" si="3"/>
        <v>0</v>
      </c>
      <c r="L8" s="141"/>
    </row>
    <row r="9" spans="1:25" s="6" customFormat="1" ht="42" customHeight="1" x14ac:dyDescent="0.25">
      <c r="A9" s="138" t="s">
        <v>19</v>
      </c>
      <c r="B9" s="193" t="s">
        <v>20</v>
      </c>
      <c r="C9" s="193"/>
      <c r="D9" s="193"/>
      <c r="E9" s="138">
        <f>+SUM(E10:E15)</f>
        <v>2103</v>
      </c>
      <c r="F9" s="138">
        <f t="shared" si="1"/>
        <v>2103</v>
      </c>
      <c r="G9" s="142">
        <f>+SUM(G10:G15)</f>
        <v>1805</v>
      </c>
      <c r="H9" s="138">
        <f>+SUM(H10:H15)</f>
        <v>298</v>
      </c>
      <c r="I9" s="138"/>
      <c r="J9" s="138"/>
      <c r="K9" s="138"/>
      <c r="L9" s="138" t="s">
        <v>160</v>
      </c>
      <c r="U9" s="7">
        <f>SUM(H10:H15)-H9</f>
        <v>0</v>
      </c>
      <c r="V9" s="7"/>
      <c r="Y9" s="7">
        <f>H9-X9</f>
        <v>298</v>
      </c>
    </row>
    <row r="10" spans="1:25" ht="38.25" customHeight="1" x14ac:dyDescent="0.25">
      <c r="A10" s="143">
        <v>1</v>
      </c>
      <c r="B10" s="144" t="s">
        <v>22</v>
      </c>
      <c r="C10" s="143"/>
      <c r="D10" s="143" t="s">
        <v>146</v>
      </c>
      <c r="E10" s="138">
        <f t="shared" ref="E10:E14" si="4">+SUM(G10:K10)</f>
        <v>734.5</v>
      </c>
      <c r="F10" s="143">
        <f t="shared" si="1"/>
        <v>734.5</v>
      </c>
      <c r="G10" s="143">
        <f>'Mẫu 2022'!G9+'Mẫu 2022'!G10+5*40+(3*40)+2</f>
        <v>638.5</v>
      </c>
      <c r="H10" s="143">
        <f>16+80</f>
        <v>96</v>
      </c>
      <c r="I10" s="143"/>
      <c r="J10" s="143"/>
      <c r="K10" s="143"/>
      <c r="L10" s="143" t="s">
        <v>146</v>
      </c>
      <c r="U10" s="25">
        <f>SUM(H10:H15)-H9</f>
        <v>0</v>
      </c>
      <c r="V10" s="26"/>
    </row>
    <row r="11" spans="1:25" s="45" customFormat="1" ht="38.25" customHeight="1" x14ac:dyDescent="0.25">
      <c r="A11" s="145">
        <v>2</v>
      </c>
      <c r="B11" s="146" t="s">
        <v>24</v>
      </c>
      <c r="C11" s="145"/>
      <c r="D11" s="145" t="s">
        <v>145</v>
      </c>
      <c r="E11" s="147">
        <f t="shared" si="4"/>
        <v>448.5</v>
      </c>
      <c r="F11" s="145">
        <f>G11+H11</f>
        <v>448.5</v>
      </c>
      <c r="G11" s="145">
        <v>246.5</v>
      </c>
      <c r="H11" s="145">
        <v>202</v>
      </c>
      <c r="I11" s="145"/>
      <c r="J11" s="145"/>
      <c r="K11" s="145"/>
      <c r="L11" s="145" t="s">
        <v>145</v>
      </c>
      <c r="V11" s="63"/>
      <c r="W11" s="64"/>
      <c r="X11" s="64"/>
    </row>
    <row r="12" spans="1:25" ht="38.25" customHeight="1" x14ac:dyDescent="0.25">
      <c r="A12" s="143">
        <v>3</v>
      </c>
      <c r="B12" s="144" t="s">
        <v>28</v>
      </c>
      <c r="C12" s="143"/>
      <c r="D12" s="145" t="s">
        <v>50</v>
      </c>
      <c r="E12" s="138">
        <f>+SUM(G12:K12)</f>
        <v>40</v>
      </c>
      <c r="F12" s="143">
        <f t="shared" si="1"/>
        <v>40</v>
      </c>
      <c r="G12" s="143">
        <f>1*40</f>
        <v>40</v>
      </c>
      <c r="H12" s="143"/>
      <c r="I12" s="143"/>
      <c r="J12" s="143"/>
      <c r="K12" s="143"/>
      <c r="L12" s="145" t="s">
        <v>50</v>
      </c>
      <c r="V12" s="26">
        <f>SUM(H12:H15)</f>
        <v>0</v>
      </c>
      <c r="W12" s="1">
        <f>25*22.5</f>
        <v>562.5</v>
      </c>
      <c r="X12" s="1">
        <f>W12-403</f>
        <v>159.5</v>
      </c>
    </row>
    <row r="13" spans="1:25" ht="38.25" customHeight="1" x14ac:dyDescent="0.25">
      <c r="A13" s="143">
        <v>4</v>
      </c>
      <c r="B13" s="144" t="s">
        <v>47</v>
      </c>
      <c r="C13" s="143"/>
      <c r="D13" s="145" t="s">
        <v>51</v>
      </c>
      <c r="E13" s="138">
        <f t="shared" si="4"/>
        <v>320</v>
      </c>
      <c r="F13" s="143">
        <f t="shared" si="1"/>
        <v>320</v>
      </c>
      <c r="G13" s="143">
        <f>8*40</f>
        <v>320</v>
      </c>
      <c r="H13" s="143"/>
      <c r="I13" s="143"/>
      <c r="J13" s="143"/>
      <c r="K13" s="143"/>
      <c r="L13" s="145" t="s">
        <v>51</v>
      </c>
      <c r="V13" s="26"/>
    </row>
    <row r="14" spans="1:25" ht="38.25" customHeight="1" x14ac:dyDescent="0.25">
      <c r="A14" s="143">
        <v>5</v>
      </c>
      <c r="B14" s="144" t="s">
        <v>38</v>
      </c>
      <c r="C14" s="143"/>
      <c r="D14" s="145" t="s">
        <v>52</v>
      </c>
      <c r="E14" s="138">
        <f t="shared" si="4"/>
        <v>280</v>
      </c>
      <c r="F14" s="143">
        <f t="shared" si="1"/>
        <v>280</v>
      </c>
      <c r="G14" s="143">
        <f>7*40</f>
        <v>280</v>
      </c>
      <c r="H14" s="143"/>
      <c r="I14" s="143"/>
      <c r="J14" s="143"/>
      <c r="K14" s="143"/>
      <c r="L14" s="145" t="s">
        <v>52</v>
      </c>
      <c r="V14" s="26"/>
    </row>
    <row r="15" spans="1:25" ht="38.25" customHeight="1" x14ac:dyDescent="0.25">
      <c r="A15" s="143">
        <v>6</v>
      </c>
      <c r="B15" s="144" t="s">
        <v>53</v>
      </c>
      <c r="C15" s="143"/>
      <c r="D15" s="145" t="s">
        <v>52</v>
      </c>
      <c r="E15" s="138">
        <f t="shared" ref="E15" si="5">+SUM(G15:K15)</f>
        <v>280</v>
      </c>
      <c r="F15" s="143">
        <f t="shared" si="1"/>
        <v>280</v>
      </c>
      <c r="G15" s="143">
        <f>7*40</f>
        <v>280</v>
      </c>
      <c r="H15" s="143"/>
      <c r="I15" s="143"/>
      <c r="J15" s="143"/>
      <c r="K15" s="143"/>
      <c r="L15" s="145" t="s">
        <v>52</v>
      </c>
      <c r="V15" s="26"/>
    </row>
    <row r="16" spans="1:25" s="6" customFormat="1" ht="62.25" customHeight="1" x14ac:dyDescent="0.25">
      <c r="A16" s="138" t="s">
        <v>25</v>
      </c>
      <c r="B16" s="193" t="s">
        <v>26</v>
      </c>
      <c r="C16" s="193"/>
      <c r="D16" s="193"/>
      <c r="E16" s="138">
        <f>+SUM(E17:E22)</f>
        <v>1440</v>
      </c>
      <c r="F16" s="138">
        <f t="shared" si="1"/>
        <v>1440</v>
      </c>
      <c r="G16" s="138">
        <f>+SUM(G17:G22)</f>
        <v>985</v>
      </c>
      <c r="H16" s="138">
        <f>+SUM(H17:H22)</f>
        <v>455</v>
      </c>
      <c r="I16" s="138"/>
      <c r="J16" s="138"/>
      <c r="K16" s="138"/>
      <c r="L16" s="138" t="s">
        <v>27</v>
      </c>
    </row>
    <row r="17" spans="1:18" ht="38.25" customHeight="1" x14ac:dyDescent="0.25">
      <c r="A17" s="143">
        <v>1</v>
      </c>
      <c r="B17" s="144" t="s">
        <v>28</v>
      </c>
      <c r="C17" s="143"/>
      <c r="D17" s="143" t="s">
        <v>29</v>
      </c>
      <c r="E17" s="138">
        <f t="shared" ref="E17:E22" si="6">+SUM(G17:K17)</f>
        <v>20</v>
      </c>
      <c r="F17" s="143">
        <f t="shared" si="1"/>
        <v>20</v>
      </c>
      <c r="G17" s="143"/>
      <c r="H17" s="143">
        <v>20</v>
      </c>
      <c r="I17" s="143"/>
      <c r="J17" s="143"/>
      <c r="K17" s="143"/>
      <c r="L17" s="143" t="s">
        <v>29</v>
      </c>
    </row>
    <row r="18" spans="1:18" ht="38.25" customHeight="1" x14ac:dyDescent="0.25">
      <c r="A18" s="143">
        <v>2</v>
      </c>
      <c r="B18" s="144" t="s">
        <v>22</v>
      </c>
      <c r="C18" s="143"/>
      <c r="D18" s="143" t="s">
        <v>29</v>
      </c>
      <c r="E18" s="138">
        <f t="shared" si="6"/>
        <v>20</v>
      </c>
      <c r="F18" s="143">
        <f t="shared" si="1"/>
        <v>20</v>
      </c>
      <c r="G18" s="143"/>
      <c r="H18" s="143">
        <v>20</v>
      </c>
      <c r="I18" s="143"/>
      <c r="J18" s="143"/>
      <c r="K18" s="143"/>
      <c r="L18" s="143" t="s">
        <v>29</v>
      </c>
    </row>
    <row r="19" spans="1:18" ht="38.25" customHeight="1" x14ac:dyDescent="0.25">
      <c r="A19" s="143">
        <v>3</v>
      </c>
      <c r="B19" s="144" t="s">
        <v>30</v>
      </c>
      <c r="C19" s="143"/>
      <c r="D19" s="143" t="s">
        <v>54</v>
      </c>
      <c r="E19" s="138">
        <f t="shared" si="6"/>
        <v>548</v>
      </c>
      <c r="F19" s="143">
        <f t="shared" si="1"/>
        <v>548</v>
      </c>
      <c r="G19" s="143">
        <f>374</f>
        <v>374</v>
      </c>
      <c r="H19" s="143">
        <f>105+69</f>
        <v>174</v>
      </c>
      <c r="I19" s="143"/>
      <c r="J19" s="143"/>
      <c r="K19" s="143"/>
      <c r="L19" s="143" t="s">
        <v>54</v>
      </c>
    </row>
    <row r="20" spans="1:18" ht="38.25" customHeight="1" x14ac:dyDescent="0.25">
      <c r="A20" s="143">
        <v>4</v>
      </c>
      <c r="B20" s="144" t="s">
        <v>53</v>
      </c>
      <c r="C20" s="143"/>
      <c r="D20" s="143" t="s">
        <v>55</v>
      </c>
      <c r="E20" s="138">
        <f t="shared" si="6"/>
        <v>714</v>
      </c>
      <c r="F20" s="143">
        <f t="shared" si="1"/>
        <v>714</v>
      </c>
      <c r="G20" s="143">
        <v>611</v>
      </c>
      <c r="H20" s="143">
        <v>103</v>
      </c>
      <c r="I20" s="143"/>
      <c r="J20" s="143"/>
      <c r="K20" s="143"/>
      <c r="L20" s="143" t="s">
        <v>55</v>
      </c>
    </row>
    <row r="21" spans="1:18" ht="38.25" customHeight="1" x14ac:dyDescent="0.25">
      <c r="A21" s="143">
        <v>5</v>
      </c>
      <c r="B21" s="144" t="s">
        <v>47</v>
      </c>
      <c r="C21" s="143"/>
      <c r="D21" s="143" t="s">
        <v>56</v>
      </c>
      <c r="E21" s="138">
        <f t="shared" si="6"/>
        <v>69</v>
      </c>
      <c r="F21" s="143">
        <f t="shared" si="1"/>
        <v>69</v>
      </c>
      <c r="G21" s="143"/>
      <c r="H21" s="143">
        <v>69</v>
      </c>
      <c r="I21" s="143"/>
      <c r="J21" s="143"/>
      <c r="K21" s="143"/>
      <c r="L21" s="143" t="s">
        <v>56</v>
      </c>
    </row>
    <row r="22" spans="1:18" ht="38.25" customHeight="1" x14ac:dyDescent="0.25">
      <c r="A22" s="143">
        <v>6</v>
      </c>
      <c r="B22" s="144" t="s">
        <v>38</v>
      </c>
      <c r="C22" s="143"/>
      <c r="D22" s="143" t="s">
        <v>56</v>
      </c>
      <c r="E22" s="138">
        <f t="shared" si="6"/>
        <v>69</v>
      </c>
      <c r="F22" s="143">
        <f t="shared" si="1"/>
        <v>69</v>
      </c>
      <c r="G22" s="143"/>
      <c r="H22" s="143">
        <v>69</v>
      </c>
      <c r="I22" s="143"/>
      <c r="J22" s="143"/>
      <c r="K22" s="143"/>
      <c r="L22" s="143" t="s">
        <v>56</v>
      </c>
    </row>
    <row r="23" spans="1:18" ht="38.25" customHeight="1" x14ac:dyDescent="0.25">
      <c r="A23" s="138"/>
      <c r="B23" s="150" t="s">
        <v>167</v>
      </c>
      <c r="C23" s="150"/>
      <c r="D23" s="150"/>
      <c r="E23" s="138" t="e">
        <f>+E24+E25+E26+E27+E28+E29+E30+E31</f>
        <v>#REF!</v>
      </c>
      <c r="F23" s="138">
        <f>+SUM(F24:F31)</f>
        <v>18296</v>
      </c>
      <c r="G23" s="151">
        <f t="shared" ref="G23:H23" si="7">+SUM(G24:G31)</f>
        <v>18296</v>
      </c>
      <c r="H23" s="138">
        <f t="shared" si="7"/>
        <v>0</v>
      </c>
      <c r="I23" s="138" t="e">
        <f>+I24+I25+I26+I27+I28+I29+I30+I31</f>
        <v>#REF!</v>
      </c>
      <c r="J23" s="138" t="e">
        <f>+J24+J25+J26+J27+J28+J29+J30+J31</f>
        <v>#REF!</v>
      </c>
      <c r="K23" s="138" t="e">
        <f>+K24+K25+K26+K27+K28+K29+K30+K31</f>
        <v>#REF!</v>
      </c>
      <c r="L23" s="138" t="s">
        <v>34</v>
      </c>
      <c r="M23" s="7" t="e">
        <f t="shared" ref="M23:M25" si="8">+N23+O23+P23+Q23+R23</f>
        <v>#REF!</v>
      </c>
      <c r="N23" s="10" t="e">
        <f t="shared" ref="N23:R26" si="9">+G23/$E23*100</f>
        <v>#REF!</v>
      </c>
      <c r="O23" s="10" t="e">
        <f t="shared" si="9"/>
        <v>#REF!</v>
      </c>
      <c r="P23" s="10" t="e">
        <f t="shared" si="9"/>
        <v>#REF!</v>
      </c>
      <c r="Q23" s="10" t="e">
        <f t="shared" si="9"/>
        <v>#REF!</v>
      </c>
      <c r="R23" s="10" t="e">
        <f t="shared" si="9"/>
        <v>#REF!</v>
      </c>
    </row>
    <row r="24" spans="1:18" ht="38.25" customHeight="1" x14ac:dyDescent="0.25">
      <c r="A24" s="143">
        <v>1</v>
      </c>
      <c r="B24" s="150" t="s">
        <v>30</v>
      </c>
      <c r="C24" s="150"/>
      <c r="D24" s="150"/>
      <c r="E24" s="148" t="e">
        <f>+SUM(#REF!)</f>
        <v>#REF!</v>
      </c>
      <c r="F24" s="143">
        <v>2287</v>
      </c>
      <c r="G24" s="148">
        <v>2287</v>
      </c>
      <c r="H24" s="148">
        <v>0</v>
      </c>
      <c r="I24" s="148" t="e">
        <f>+SUM(#REF!)</f>
        <v>#REF!</v>
      </c>
      <c r="J24" s="148" t="e">
        <f>+SUM(#REF!)</f>
        <v>#REF!</v>
      </c>
      <c r="K24" s="148" t="e">
        <f>+SUM(#REF!)</f>
        <v>#REF!</v>
      </c>
      <c r="L24" s="141"/>
      <c r="M24" s="4" t="e">
        <f t="shared" si="8"/>
        <v>#REF!</v>
      </c>
      <c r="N24" s="10" t="e">
        <f t="shared" si="9"/>
        <v>#REF!</v>
      </c>
      <c r="O24" s="10" t="e">
        <f t="shared" si="9"/>
        <v>#REF!</v>
      </c>
      <c r="P24" s="10" t="e">
        <f t="shared" si="9"/>
        <v>#REF!</v>
      </c>
      <c r="Q24" s="10" t="e">
        <f t="shared" si="9"/>
        <v>#REF!</v>
      </c>
      <c r="R24" s="10" t="e">
        <f t="shared" si="9"/>
        <v>#REF!</v>
      </c>
    </row>
    <row r="25" spans="1:18" s="45" customFormat="1" ht="38.25" customHeight="1" x14ac:dyDescent="0.25">
      <c r="A25" s="143">
        <v>2</v>
      </c>
      <c r="B25" s="150" t="s">
        <v>28</v>
      </c>
      <c r="C25" s="150"/>
      <c r="D25" s="150"/>
      <c r="E25" s="148" t="e">
        <f>+SUM(#REF!)</f>
        <v>#REF!</v>
      </c>
      <c r="F25" s="143">
        <v>2287</v>
      </c>
      <c r="G25" s="148">
        <v>2287</v>
      </c>
      <c r="H25" s="148">
        <v>0</v>
      </c>
      <c r="I25" s="148" t="e">
        <f>+SUM(#REF!)</f>
        <v>#REF!</v>
      </c>
      <c r="J25" s="148" t="e">
        <f>+SUM(#REF!)</f>
        <v>#REF!</v>
      </c>
      <c r="K25" s="148" t="e">
        <f>+SUM(#REF!)</f>
        <v>#REF!</v>
      </c>
      <c r="L25" s="149"/>
      <c r="M25" s="4" t="e">
        <f t="shared" si="8"/>
        <v>#REF!</v>
      </c>
      <c r="N25" s="10" t="e">
        <f t="shared" si="9"/>
        <v>#REF!</v>
      </c>
      <c r="O25" s="10" t="e">
        <f t="shared" si="9"/>
        <v>#REF!</v>
      </c>
      <c r="P25" s="10" t="e">
        <f t="shared" si="9"/>
        <v>#REF!</v>
      </c>
      <c r="Q25" s="10" t="e">
        <f t="shared" si="9"/>
        <v>#REF!</v>
      </c>
      <c r="R25" s="10" t="e">
        <f t="shared" si="9"/>
        <v>#REF!</v>
      </c>
    </row>
    <row r="26" spans="1:18" ht="38.25" customHeight="1" x14ac:dyDescent="0.25">
      <c r="A26" s="143">
        <v>3</v>
      </c>
      <c r="B26" s="150" t="s">
        <v>36</v>
      </c>
      <c r="C26" s="150"/>
      <c r="D26" s="150"/>
      <c r="E26" s="148" t="e">
        <f>+SUM(#REF!)</f>
        <v>#REF!</v>
      </c>
      <c r="F26" s="143">
        <v>2287</v>
      </c>
      <c r="G26" s="148">
        <v>2287</v>
      </c>
      <c r="H26" s="148">
        <v>0</v>
      </c>
      <c r="I26" s="148" t="e">
        <f>+SUM(#REF!)</f>
        <v>#REF!</v>
      </c>
      <c r="J26" s="148" t="e">
        <f>+SUM(#REF!)</f>
        <v>#REF!</v>
      </c>
      <c r="K26" s="148" t="e">
        <f>+SUM(#REF!)</f>
        <v>#REF!</v>
      </c>
      <c r="L26" s="148"/>
      <c r="M26" s="4" t="e">
        <f>+N26+O26+P26+Q26+R26</f>
        <v>#REF!</v>
      </c>
      <c r="N26" s="10" t="e">
        <f>+G26/$E26*100</f>
        <v>#REF!</v>
      </c>
      <c r="O26" s="10" t="e">
        <f t="shared" si="9"/>
        <v>#REF!</v>
      </c>
      <c r="P26" s="10" t="e">
        <f t="shared" si="9"/>
        <v>#REF!</v>
      </c>
      <c r="Q26" s="10" t="e">
        <f t="shared" si="9"/>
        <v>#REF!</v>
      </c>
      <c r="R26" s="10" t="e">
        <f t="shared" si="9"/>
        <v>#REF!</v>
      </c>
    </row>
    <row r="27" spans="1:18" ht="38.25" customHeight="1" x14ac:dyDescent="0.25">
      <c r="A27" s="143">
        <v>4</v>
      </c>
      <c r="B27" s="150" t="s">
        <v>38</v>
      </c>
      <c r="C27" s="150"/>
      <c r="D27" s="150"/>
      <c r="E27" s="148" t="e">
        <f>+SUM(#REF!)</f>
        <v>#REF!</v>
      </c>
      <c r="F27" s="143">
        <v>2287.0000000000005</v>
      </c>
      <c r="G27" s="148">
        <v>2287.0000000000005</v>
      </c>
      <c r="H27" s="148">
        <v>0</v>
      </c>
      <c r="I27" s="148" t="e">
        <f>+SUM(#REF!)</f>
        <v>#REF!</v>
      </c>
      <c r="J27" s="148" t="e">
        <f>+SUM(#REF!)</f>
        <v>#REF!</v>
      </c>
      <c r="K27" s="148" t="e">
        <f>+SUM(#REF!)</f>
        <v>#REF!</v>
      </c>
      <c r="L27" s="148"/>
      <c r="M27" s="4" t="e">
        <f t="shared" ref="M27:M31" si="10">+N27+O27+P27+Q27+R27</f>
        <v>#REF!</v>
      </c>
      <c r="N27" s="10" t="e">
        <f t="shared" ref="N27:R29" si="11">+G27/$E27*100</f>
        <v>#REF!</v>
      </c>
      <c r="O27" s="10" t="e">
        <f t="shared" si="11"/>
        <v>#REF!</v>
      </c>
      <c r="P27" s="10" t="e">
        <f t="shared" si="11"/>
        <v>#REF!</v>
      </c>
      <c r="Q27" s="10" t="e">
        <f t="shared" si="11"/>
        <v>#REF!</v>
      </c>
      <c r="R27" s="10" t="e">
        <f t="shared" si="11"/>
        <v>#REF!</v>
      </c>
    </row>
    <row r="28" spans="1:18" ht="38.25" customHeight="1" x14ac:dyDescent="0.25">
      <c r="A28" s="143">
        <v>5</v>
      </c>
      <c r="B28" s="150" t="s">
        <v>22</v>
      </c>
      <c r="C28" s="148"/>
      <c r="D28" s="148"/>
      <c r="E28" s="148" t="e">
        <f>+SUM(#REF!)</f>
        <v>#REF!</v>
      </c>
      <c r="F28" s="143">
        <v>2287</v>
      </c>
      <c r="G28" s="148">
        <v>2287</v>
      </c>
      <c r="H28" s="148">
        <v>0</v>
      </c>
      <c r="I28" s="148" t="e">
        <f>+SUM(#REF!)</f>
        <v>#REF!</v>
      </c>
      <c r="J28" s="148" t="e">
        <f>+SUM(#REF!)</f>
        <v>#REF!</v>
      </c>
      <c r="K28" s="148" t="e">
        <f>+SUM(#REF!)</f>
        <v>#REF!</v>
      </c>
      <c r="L28" s="148"/>
      <c r="M28" s="4" t="e">
        <f t="shared" si="10"/>
        <v>#REF!</v>
      </c>
      <c r="N28" s="10" t="e">
        <f t="shared" si="11"/>
        <v>#REF!</v>
      </c>
      <c r="O28" s="10" t="e">
        <f t="shared" si="11"/>
        <v>#REF!</v>
      </c>
      <c r="P28" s="10" t="e">
        <f t="shared" si="11"/>
        <v>#REF!</v>
      </c>
      <c r="Q28" s="10" t="e">
        <f t="shared" si="11"/>
        <v>#REF!</v>
      </c>
      <c r="R28" s="10" t="e">
        <f t="shared" si="11"/>
        <v>#REF!</v>
      </c>
    </row>
    <row r="29" spans="1:18" ht="38.25" customHeight="1" x14ac:dyDescent="0.25">
      <c r="A29" s="143">
        <v>6</v>
      </c>
      <c r="B29" s="150" t="s">
        <v>41</v>
      </c>
      <c r="C29" s="148"/>
      <c r="D29" s="148"/>
      <c r="E29" s="148" t="e">
        <f>+SUM(#REF!)</f>
        <v>#REF!</v>
      </c>
      <c r="F29" s="143">
        <v>2287</v>
      </c>
      <c r="G29" s="148">
        <v>2287</v>
      </c>
      <c r="H29" s="148">
        <v>0</v>
      </c>
      <c r="I29" s="148" t="e">
        <f>+SUM(#REF!)</f>
        <v>#REF!</v>
      </c>
      <c r="J29" s="148" t="e">
        <f>+SUM(#REF!)</f>
        <v>#REF!</v>
      </c>
      <c r="K29" s="148" t="e">
        <f>+SUM(#REF!)</f>
        <v>#REF!</v>
      </c>
      <c r="L29" s="148"/>
      <c r="M29" s="4" t="e">
        <f t="shared" si="10"/>
        <v>#REF!</v>
      </c>
      <c r="N29" s="10" t="e">
        <f t="shared" si="11"/>
        <v>#REF!</v>
      </c>
      <c r="O29" s="10" t="e">
        <f t="shared" si="11"/>
        <v>#REF!</v>
      </c>
      <c r="P29" s="10" t="e">
        <f t="shared" si="11"/>
        <v>#REF!</v>
      </c>
      <c r="Q29" s="10" t="e">
        <f t="shared" si="11"/>
        <v>#REF!</v>
      </c>
      <c r="R29" s="10" t="e">
        <f t="shared" si="11"/>
        <v>#REF!</v>
      </c>
    </row>
    <row r="30" spans="1:18" ht="38.25" customHeight="1" x14ac:dyDescent="0.25">
      <c r="A30" s="143">
        <v>7</v>
      </c>
      <c r="B30" s="150" t="s">
        <v>45</v>
      </c>
      <c r="C30" s="148"/>
      <c r="D30" s="148"/>
      <c r="E30" s="148" t="e">
        <f>+SUM(#REF!)</f>
        <v>#REF!</v>
      </c>
      <c r="F30" s="143">
        <v>2287</v>
      </c>
      <c r="G30" s="148">
        <v>2287</v>
      </c>
      <c r="H30" s="148">
        <v>0</v>
      </c>
      <c r="I30" s="148" t="e">
        <f>+SUM(#REF!)</f>
        <v>#REF!</v>
      </c>
      <c r="J30" s="148" t="e">
        <f>+SUM(#REF!)</f>
        <v>#REF!</v>
      </c>
      <c r="K30" s="148" t="e">
        <f>+SUM(#REF!)</f>
        <v>#REF!</v>
      </c>
      <c r="L30" s="148"/>
      <c r="M30" s="4" t="e">
        <f t="shared" si="10"/>
        <v>#REF!</v>
      </c>
      <c r="N30" s="10" t="e">
        <f t="shared" ref="N30:R30" si="12">+G30/$E30*100</f>
        <v>#REF!</v>
      </c>
      <c r="O30" s="10" t="e">
        <f t="shared" si="12"/>
        <v>#REF!</v>
      </c>
      <c r="P30" s="10" t="e">
        <f t="shared" si="12"/>
        <v>#REF!</v>
      </c>
      <c r="Q30" s="10" t="e">
        <f t="shared" si="12"/>
        <v>#REF!</v>
      </c>
      <c r="R30" s="10" t="e">
        <f t="shared" si="12"/>
        <v>#REF!</v>
      </c>
    </row>
    <row r="31" spans="1:18" ht="38.25" customHeight="1" x14ac:dyDescent="0.25">
      <c r="A31" s="143">
        <v>8</v>
      </c>
      <c r="B31" s="150" t="s">
        <v>47</v>
      </c>
      <c r="C31" s="148"/>
      <c r="D31" s="148"/>
      <c r="E31" s="148" t="e">
        <f>+SUM(#REF!)</f>
        <v>#REF!</v>
      </c>
      <c r="F31" s="143">
        <v>2287</v>
      </c>
      <c r="G31" s="148">
        <v>2287</v>
      </c>
      <c r="H31" s="148">
        <v>0</v>
      </c>
      <c r="I31" s="148" t="e">
        <f>+SUM(#REF!)</f>
        <v>#REF!</v>
      </c>
      <c r="J31" s="148" t="e">
        <f>+SUM(#REF!)</f>
        <v>#REF!</v>
      </c>
      <c r="K31" s="148" t="e">
        <f>+SUM(#REF!)</f>
        <v>#REF!</v>
      </c>
      <c r="L31" s="148"/>
      <c r="M31" s="4" t="e">
        <f t="shared" si="10"/>
        <v>#REF!</v>
      </c>
      <c r="N31" s="10" t="e">
        <f t="shared" ref="N31:R31" si="13">+G31/$E31*100</f>
        <v>#REF!</v>
      </c>
      <c r="O31" s="10" t="e">
        <f t="shared" si="13"/>
        <v>#REF!</v>
      </c>
      <c r="P31" s="10" t="e">
        <f t="shared" si="13"/>
        <v>#REF!</v>
      </c>
      <c r="Q31" s="10" t="e">
        <f t="shared" si="13"/>
        <v>#REF!</v>
      </c>
      <c r="R31" s="10" t="e">
        <f t="shared" si="13"/>
        <v>#REF!</v>
      </c>
    </row>
    <row r="32" spans="1:18" ht="38.25" customHeight="1" outlineLevel="1" x14ac:dyDescent="0.25"/>
    <row r="33" spans="2:25" s="23" customFormat="1" ht="38.25" customHeight="1" x14ac:dyDescent="0.25">
      <c r="B33" s="90"/>
      <c r="C33" s="1"/>
      <c r="D33" s="1"/>
      <c r="E33" s="104"/>
      <c r="F33" s="24"/>
      <c r="G33" s="24"/>
      <c r="H33" s="24"/>
      <c r="I33" s="24"/>
      <c r="J33" s="24"/>
      <c r="K33" s="24"/>
      <c r="L33" s="1"/>
      <c r="M33" s="1"/>
      <c r="N33" s="1"/>
      <c r="O33" s="1"/>
      <c r="P33" s="1"/>
      <c r="Q33" s="1"/>
      <c r="R33" s="1"/>
      <c r="S33" s="1"/>
      <c r="T33" s="1"/>
      <c r="U33" s="1"/>
      <c r="V33" s="1"/>
      <c r="W33" s="1"/>
      <c r="X33" s="1"/>
      <c r="Y33" s="1"/>
    </row>
    <row r="34" spans="2:25" ht="38.25" customHeight="1" x14ac:dyDescent="0.25"/>
    <row r="35" spans="2:25" ht="38.25" customHeight="1" x14ac:dyDescent="0.25"/>
    <row r="36" spans="2:25" ht="38.25" customHeight="1" x14ac:dyDescent="0.25"/>
    <row r="37" spans="2:25" ht="38.25" customHeight="1" x14ac:dyDescent="0.25"/>
    <row r="38" spans="2:25" ht="38.25" customHeight="1" x14ac:dyDescent="0.25"/>
    <row r="39" spans="2:25" ht="38.25" customHeight="1" x14ac:dyDescent="0.25"/>
    <row r="40" spans="2:25" ht="38.25" customHeight="1" x14ac:dyDescent="0.25"/>
    <row r="41" spans="2:25" ht="38.25" customHeight="1" x14ac:dyDescent="0.25"/>
    <row r="42" spans="2:25" ht="38.25" customHeight="1" x14ac:dyDescent="0.25"/>
    <row r="43" spans="2:25" ht="38.25" customHeight="1" x14ac:dyDescent="0.25"/>
  </sheetData>
  <mergeCells count="15">
    <mergeCell ref="B7:D7"/>
    <mergeCell ref="B8:D8"/>
    <mergeCell ref="B9:D9"/>
    <mergeCell ref="B16:D16"/>
    <mergeCell ref="G5:H5"/>
    <mergeCell ref="F5:F6"/>
    <mergeCell ref="A2:L2"/>
    <mergeCell ref="G4:L4"/>
    <mergeCell ref="A5:A6"/>
    <mergeCell ref="B5:B6"/>
    <mergeCell ref="C5:C6"/>
    <mergeCell ref="D5:D6"/>
    <mergeCell ref="E5:E6"/>
    <mergeCell ref="L5:L6"/>
    <mergeCell ref="A3:G3"/>
  </mergeCells>
  <pageMargins left="0.83" right="0.34" top="0.43307086614173201" bottom="0.62992125984252001" header="0.43" footer="0.43307086614173201"/>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2"/>
  <sheetViews>
    <sheetView zoomScale="85" zoomScaleNormal="85" workbookViewId="0">
      <pane xSplit="4" ySplit="6" topLeftCell="E7" activePane="bottomRight" state="frozen"/>
      <selection pane="topRight" activeCell="E1" sqref="E1"/>
      <selection pane="bottomLeft" activeCell="A6" sqref="A6"/>
      <selection pane="bottomRight" activeCell="E7" sqref="E7"/>
    </sheetView>
  </sheetViews>
  <sheetFormatPr defaultRowHeight="15" outlineLevelRow="1" x14ac:dyDescent="0.25"/>
  <cols>
    <col min="1" max="1" width="5.140625" style="23" customWidth="1"/>
    <col min="2" max="2" width="34.85546875" style="90" customWidth="1"/>
    <col min="3" max="3" width="8.7109375" style="23" customWidth="1"/>
    <col min="4" max="4" width="55.140625" style="1" hidden="1" customWidth="1"/>
    <col min="5" max="5" width="13.85546875" style="24" customWidth="1"/>
    <col min="6" max="6" width="14.42578125" style="24" customWidth="1"/>
    <col min="7" max="7" width="11" style="24" customWidth="1"/>
    <col min="8" max="8" width="9.7109375" style="24" customWidth="1"/>
    <col min="9" max="9" width="7.5703125" style="24" hidden="1" customWidth="1"/>
    <col min="10" max="10" width="8.85546875" style="24" hidden="1" customWidth="1"/>
    <col min="11" max="11" width="9" style="24" hidden="1" customWidth="1"/>
    <col min="12" max="12" width="60.7109375" style="1" customWidth="1"/>
    <col min="13" max="13" width="8.5703125" style="1" hidden="1" customWidth="1"/>
    <col min="14" max="19" width="0" style="1" hidden="1" customWidth="1"/>
    <col min="20" max="20" width="20.140625" style="1" customWidth="1"/>
    <col min="21" max="21" width="9.5703125" style="1" bestFit="1" customWidth="1"/>
    <col min="22" max="22" width="10.42578125" style="1" bestFit="1" customWidth="1"/>
    <col min="23" max="23" width="10.5703125" style="1" bestFit="1" customWidth="1"/>
    <col min="24" max="24" width="9.7109375" style="1" bestFit="1" customWidth="1"/>
    <col min="25" max="16384" width="9.140625" style="1"/>
  </cols>
  <sheetData>
    <row r="1" spans="1:25" hidden="1" x14ac:dyDescent="0.25"/>
    <row r="2" spans="1:25" s="14" customFormat="1" ht="18.75" customHeight="1" x14ac:dyDescent="0.25">
      <c r="A2" s="177" t="s">
        <v>169</v>
      </c>
      <c r="B2" s="177"/>
      <c r="C2" s="177"/>
      <c r="D2" s="177"/>
      <c r="E2" s="177"/>
      <c r="F2" s="177"/>
      <c r="G2" s="177"/>
      <c r="H2" s="177"/>
      <c r="I2" s="177"/>
      <c r="J2" s="177"/>
      <c r="K2" s="177"/>
      <c r="L2" s="177"/>
    </row>
    <row r="3" spans="1:25" s="14" customFormat="1" ht="20.25" customHeight="1" x14ac:dyDescent="0.25">
      <c r="A3" s="192" t="str">
        <f>+'Biểu 3_NTM'!A3:G3</f>
        <v>(Kèm theo Nghị quyết số           /NQ-HĐND ngày     /10/2022 của HĐND Thành phố)</v>
      </c>
      <c r="B3" s="192"/>
      <c r="C3" s="192"/>
      <c r="D3" s="192"/>
      <c r="E3" s="192"/>
      <c r="F3" s="192"/>
      <c r="G3" s="192"/>
      <c r="H3" s="192"/>
      <c r="I3" s="192"/>
      <c r="J3" s="192"/>
      <c r="K3" s="192"/>
      <c r="L3" s="192"/>
    </row>
    <row r="4" spans="1:25" ht="15" customHeight="1" x14ac:dyDescent="0.25">
      <c r="H4" s="194" t="s">
        <v>1</v>
      </c>
      <c r="I4" s="194"/>
      <c r="J4" s="194"/>
      <c r="K4" s="194"/>
      <c r="L4" s="194"/>
    </row>
    <row r="5" spans="1:25" x14ac:dyDescent="0.25">
      <c r="A5" s="178" t="s">
        <v>2</v>
      </c>
      <c r="B5" s="178" t="s">
        <v>3</v>
      </c>
      <c r="C5" s="178" t="s">
        <v>4</v>
      </c>
      <c r="D5" s="178" t="s">
        <v>5</v>
      </c>
      <c r="E5" s="178" t="s">
        <v>6</v>
      </c>
      <c r="F5" s="174" t="s">
        <v>48</v>
      </c>
      <c r="G5" s="175"/>
      <c r="H5" s="175"/>
      <c r="I5" s="175"/>
      <c r="J5" s="175"/>
      <c r="K5" s="179"/>
      <c r="L5" s="178" t="s">
        <v>174</v>
      </c>
    </row>
    <row r="6" spans="1:25" ht="42.75" customHeight="1" x14ac:dyDescent="0.25">
      <c r="A6" s="178"/>
      <c r="B6" s="178"/>
      <c r="C6" s="178"/>
      <c r="D6" s="178"/>
      <c r="E6" s="178"/>
      <c r="F6" s="107" t="s">
        <v>9</v>
      </c>
      <c r="G6" s="107" t="s">
        <v>10</v>
      </c>
      <c r="H6" s="107" t="s">
        <v>11</v>
      </c>
      <c r="I6" s="98" t="s">
        <v>12</v>
      </c>
      <c r="J6" s="98" t="s">
        <v>13</v>
      </c>
      <c r="K6" s="98" t="s">
        <v>14</v>
      </c>
      <c r="L6" s="178"/>
    </row>
    <row r="7" spans="1:25" ht="33" customHeight="1" x14ac:dyDescent="0.25">
      <c r="A7" s="98"/>
      <c r="B7" s="171" t="s">
        <v>49</v>
      </c>
      <c r="C7" s="172"/>
      <c r="D7" s="173"/>
      <c r="E7" s="154">
        <f t="shared" ref="E7:K7" si="0">+E8+E23</f>
        <v>28787.838960666668</v>
      </c>
      <c r="F7" s="154">
        <f>+G7+H7</f>
        <v>21839</v>
      </c>
      <c r="G7" s="154">
        <f t="shared" si="0"/>
        <v>21086</v>
      </c>
      <c r="H7" s="154">
        <f t="shared" si="0"/>
        <v>753</v>
      </c>
      <c r="I7" s="98">
        <f t="shared" si="0"/>
        <v>0</v>
      </c>
      <c r="J7" s="98">
        <f t="shared" si="0"/>
        <v>4490.1445939999994</v>
      </c>
      <c r="K7" s="98">
        <f t="shared" si="0"/>
        <v>2466.149477777778</v>
      </c>
      <c r="L7" s="3" t="s">
        <v>16</v>
      </c>
      <c r="V7" s="25">
        <f>+G7-'[2]21-25'!D6</f>
        <v>0</v>
      </c>
      <c r="W7" s="4">
        <f>+H7-'[2]21-25'!G6</f>
        <v>0</v>
      </c>
    </row>
    <row r="8" spans="1:25" ht="32.25" customHeight="1" x14ac:dyDescent="0.25">
      <c r="A8" s="98" t="s">
        <v>17</v>
      </c>
      <c r="B8" s="171" t="s">
        <v>18</v>
      </c>
      <c r="C8" s="172"/>
      <c r="D8" s="173"/>
      <c r="E8" s="154">
        <f>+E9+E16</f>
        <v>3543</v>
      </c>
      <c r="F8" s="154">
        <f t="shared" ref="F8:F71" si="1">+G8+H8</f>
        <v>3543</v>
      </c>
      <c r="G8" s="154">
        <f t="shared" ref="G8" si="2">+G9+G16</f>
        <v>2790</v>
      </c>
      <c r="H8" s="154">
        <f>+H9+H16</f>
        <v>753</v>
      </c>
      <c r="I8" s="98">
        <f>+I9+I16</f>
        <v>0</v>
      </c>
      <c r="J8" s="98">
        <f t="shared" ref="J8:K8" si="3">+J9+J16</f>
        <v>0</v>
      </c>
      <c r="K8" s="98">
        <f t="shared" si="3"/>
        <v>0</v>
      </c>
      <c r="L8" s="5"/>
    </row>
    <row r="9" spans="1:25" s="6" customFormat="1" ht="31.5" customHeight="1" x14ac:dyDescent="0.25">
      <c r="A9" s="98" t="s">
        <v>19</v>
      </c>
      <c r="B9" s="171" t="s">
        <v>20</v>
      </c>
      <c r="C9" s="172"/>
      <c r="D9" s="173"/>
      <c r="E9" s="154">
        <f>+SUM(E10:E15)</f>
        <v>2103</v>
      </c>
      <c r="F9" s="154">
        <f t="shared" si="1"/>
        <v>2103</v>
      </c>
      <c r="G9" s="155">
        <f>+SUM(G10:G15)</f>
        <v>1805</v>
      </c>
      <c r="H9" s="154">
        <f>+SUM(H10:H15)</f>
        <v>298</v>
      </c>
      <c r="I9" s="98"/>
      <c r="J9" s="98"/>
      <c r="K9" s="98"/>
      <c r="L9" s="98" t="s">
        <v>160</v>
      </c>
      <c r="U9" s="7">
        <f>SUM(H10:H15)-H9</f>
        <v>0</v>
      </c>
      <c r="V9" s="7"/>
      <c r="Y9" s="7">
        <f>H9-X9</f>
        <v>298</v>
      </c>
    </row>
    <row r="10" spans="1:25" ht="19.5" customHeight="1" x14ac:dyDescent="0.25">
      <c r="A10" s="8">
        <v>1</v>
      </c>
      <c r="B10" s="91" t="s">
        <v>22</v>
      </c>
      <c r="C10" s="8"/>
      <c r="D10" s="8" t="s">
        <v>146</v>
      </c>
      <c r="E10" s="152">
        <f t="shared" ref="E10:E14" si="4">+SUM(G10:K10)</f>
        <v>734.5</v>
      </c>
      <c r="F10" s="152">
        <f t="shared" si="1"/>
        <v>734.5</v>
      </c>
      <c r="G10" s="152">
        <f>'[3]Mẫu 2022'!G9+'[3]Mẫu 2022'!G10+5*40+(3*40)+2</f>
        <v>638.5</v>
      </c>
      <c r="H10" s="152">
        <f>16+80</f>
        <v>96</v>
      </c>
      <c r="I10" s="8"/>
      <c r="J10" s="8"/>
      <c r="K10" s="8"/>
      <c r="L10" s="8" t="s">
        <v>146</v>
      </c>
      <c r="U10" s="25">
        <f>SUM(H10:H15)-H9</f>
        <v>0</v>
      </c>
      <c r="V10" s="26"/>
    </row>
    <row r="11" spans="1:25" s="45" customFormat="1" ht="19.5" customHeight="1" x14ac:dyDescent="0.25">
      <c r="A11" s="42">
        <v>2</v>
      </c>
      <c r="B11" s="27" t="s">
        <v>24</v>
      </c>
      <c r="C11" s="42"/>
      <c r="D11" s="42" t="s">
        <v>145</v>
      </c>
      <c r="E11" s="156">
        <f t="shared" si="4"/>
        <v>448.5</v>
      </c>
      <c r="F11" s="156">
        <f>G11+H11</f>
        <v>448.5</v>
      </c>
      <c r="G11" s="156">
        <v>246.5</v>
      </c>
      <c r="H11" s="156">
        <v>202</v>
      </c>
      <c r="I11" s="42"/>
      <c r="J11" s="42"/>
      <c r="K11" s="42"/>
      <c r="L11" s="42" t="s">
        <v>145</v>
      </c>
      <c r="V11" s="63"/>
      <c r="W11" s="64"/>
      <c r="X11" s="64"/>
    </row>
    <row r="12" spans="1:25" ht="19.5" customHeight="1" x14ac:dyDescent="0.25">
      <c r="A12" s="8">
        <v>3</v>
      </c>
      <c r="B12" s="91" t="s">
        <v>28</v>
      </c>
      <c r="C12" s="8"/>
      <c r="D12" s="42" t="s">
        <v>50</v>
      </c>
      <c r="E12" s="152">
        <f>+SUM(G12:K12)</f>
        <v>40</v>
      </c>
      <c r="F12" s="152">
        <f t="shared" si="1"/>
        <v>40</v>
      </c>
      <c r="G12" s="152">
        <f>1*40</f>
        <v>40</v>
      </c>
      <c r="H12" s="152"/>
      <c r="I12" s="8"/>
      <c r="J12" s="8"/>
      <c r="K12" s="8"/>
      <c r="L12" s="42" t="s">
        <v>50</v>
      </c>
      <c r="V12" s="26">
        <f>SUM(H12:H15)</f>
        <v>0</v>
      </c>
      <c r="W12" s="1">
        <f>25*22.5</f>
        <v>562.5</v>
      </c>
      <c r="X12" s="1">
        <f>W12-403</f>
        <v>159.5</v>
      </c>
    </row>
    <row r="13" spans="1:25" ht="19.5" customHeight="1" x14ac:dyDescent="0.25">
      <c r="A13" s="8">
        <v>4</v>
      </c>
      <c r="B13" s="91" t="s">
        <v>47</v>
      </c>
      <c r="C13" s="8"/>
      <c r="D13" s="42" t="s">
        <v>51</v>
      </c>
      <c r="E13" s="152">
        <f t="shared" si="4"/>
        <v>320</v>
      </c>
      <c r="F13" s="152">
        <f t="shared" si="1"/>
        <v>320</v>
      </c>
      <c r="G13" s="152">
        <f>8*40</f>
        <v>320</v>
      </c>
      <c r="H13" s="152"/>
      <c r="I13" s="8"/>
      <c r="J13" s="8"/>
      <c r="K13" s="8"/>
      <c r="L13" s="42" t="s">
        <v>51</v>
      </c>
      <c r="V13" s="26"/>
    </row>
    <row r="14" spans="1:25" ht="19.5" customHeight="1" x14ac:dyDescent="0.25">
      <c r="A14" s="8">
        <v>5</v>
      </c>
      <c r="B14" s="91" t="s">
        <v>38</v>
      </c>
      <c r="C14" s="8"/>
      <c r="D14" s="42" t="s">
        <v>52</v>
      </c>
      <c r="E14" s="152">
        <f t="shared" si="4"/>
        <v>280</v>
      </c>
      <c r="F14" s="152">
        <f t="shared" si="1"/>
        <v>280</v>
      </c>
      <c r="G14" s="152">
        <f>7*40</f>
        <v>280</v>
      </c>
      <c r="H14" s="152"/>
      <c r="I14" s="8"/>
      <c r="J14" s="8"/>
      <c r="K14" s="8"/>
      <c r="L14" s="42" t="s">
        <v>52</v>
      </c>
      <c r="V14" s="26"/>
    </row>
    <row r="15" spans="1:25" ht="19.5" customHeight="1" x14ac:dyDescent="0.25">
      <c r="A15" s="8">
        <v>6</v>
      </c>
      <c r="B15" s="91" t="s">
        <v>53</v>
      </c>
      <c r="C15" s="8"/>
      <c r="D15" s="42" t="s">
        <v>52</v>
      </c>
      <c r="E15" s="152">
        <f t="shared" ref="E15" si="5">+SUM(G15:K15)</f>
        <v>280</v>
      </c>
      <c r="F15" s="152">
        <f t="shared" si="1"/>
        <v>280</v>
      </c>
      <c r="G15" s="152">
        <f>7*40</f>
        <v>280</v>
      </c>
      <c r="H15" s="152"/>
      <c r="I15" s="8"/>
      <c r="J15" s="8"/>
      <c r="K15" s="8"/>
      <c r="L15" s="42" t="s">
        <v>52</v>
      </c>
      <c r="V15" s="26"/>
    </row>
    <row r="16" spans="1:25" s="6" customFormat="1" ht="44.25" customHeight="1" x14ac:dyDescent="0.25">
      <c r="A16" s="98" t="s">
        <v>25</v>
      </c>
      <c r="B16" s="171" t="s">
        <v>26</v>
      </c>
      <c r="C16" s="172"/>
      <c r="D16" s="173"/>
      <c r="E16" s="154">
        <f>+SUM(E17:E22)</f>
        <v>1440</v>
      </c>
      <c r="F16" s="154">
        <f t="shared" si="1"/>
        <v>1440</v>
      </c>
      <c r="G16" s="154">
        <f>+SUM(G17:G22)</f>
        <v>985</v>
      </c>
      <c r="H16" s="154">
        <f>+SUM(H17:H22)</f>
        <v>455</v>
      </c>
      <c r="I16" s="98"/>
      <c r="J16" s="98"/>
      <c r="K16" s="98"/>
      <c r="L16" s="98" t="s">
        <v>27</v>
      </c>
    </row>
    <row r="17" spans="1:18" ht="22.5" customHeight="1" x14ac:dyDescent="0.25">
      <c r="A17" s="8">
        <v>1</v>
      </c>
      <c r="B17" s="91" t="s">
        <v>28</v>
      </c>
      <c r="C17" s="8"/>
      <c r="D17" s="8" t="s">
        <v>29</v>
      </c>
      <c r="E17" s="152">
        <f t="shared" ref="E17:E22" si="6">+SUM(G17:K17)</f>
        <v>20</v>
      </c>
      <c r="F17" s="152">
        <f t="shared" si="1"/>
        <v>20</v>
      </c>
      <c r="G17" s="152"/>
      <c r="H17" s="152">
        <v>20</v>
      </c>
      <c r="I17" s="8"/>
      <c r="J17" s="8"/>
      <c r="K17" s="8"/>
      <c r="L17" s="8" t="s">
        <v>29</v>
      </c>
    </row>
    <row r="18" spans="1:18" ht="22.5" customHeight="1" x14ac:dyDescent="0.25">
      <c r="A18" s="8">
        <v>2</v>
      </c>
      <c r="B18" s="91" t="s">
        <v>22</v>
      </c>
      <c r="C18" s="8"/>
      <c r="D18" s="8" t="s">
        <v>29</v>
      </c>
      <c r="E18" s="152">
        <f t="shared" si="6"/>
        <v>20</v>
      </c>
      <c r="F18" s="152">
        <f t="shared" si="1"/>
        <v>20</v>
      </c>
      <c r="G18" s="152"/>
      <c r="H18" s="152">
        <v>20</v>
      </c>
      <c r="I18" s="8"/>
      <c r="J18" s="8"/>
      <c r="K18" s="8"/>
      <c r="L18" s="8" t="s">
        <v>29</v>
      </c>
    </row>
    <row r="19" spans="1:18" ht="31.5" customHeight="1" x14ac:dyDescent="0.25">
      <c r="A19" s="8">
        <v>3</v>
      </c>
      <c r="B19" s="91" t="s">
        <v>30</v>
      </c>
      <c r="C19" s="8"/>
      <c r="D19" s="8" t="s">
        <v>54</v>
      </c>
      <c r="E19" s="152">
        <f t="shared" si="6"/>
        <v>548</v>
      </c>
      <c r="F19" s="152">
        <f t="shared" si="1"/>
        <v>548</v>
      </c>
      <c r="G19" s="152">
        <f>374</f>
        <v>374</v>
      </c>
      <c r="H19" s="152">
        <f>105+69</f>
        <v>174</v>
      </c>
      <c r="I19" s="8"/>
      <c r="J19" s="8"/>
      <c r="K19" s="8"/>
      <c r="L19" s="8" t="s">
        <v>54</v>
      </c>
    </row>
    <row r="20" spans="1:18" ht="21" customHeight="1" x14ac:dyDescent="0.25">
      <c r="A20" s="8">
        <v>4</v>
      </c>
      <c r="B20" s="91" t="s">
        <v>53</v>
      </c>
      <c r="C20" s="8"/>
      <c r="D20" s="8" t="s">
        <v>55</v>
      </c>
      <c r="E20" s="152">
        <f t="shared" si="6"/>
        <v>714</v>
      </c>
      <c r="F20" s="152">
        <f t="shared" si="1"/>
        <v>714</v>
      </c>
      <c r="G20" s="152">
        <v>611</v>
      </c>
      <c r="H20" s="152">
        <v>103</v>
      </c>
      <c r="I20" s="8"/>
      <c r="J20" s="8"/>
      <c r="K20" s="8"/>
      <c r="L20" s="8" t="s">
        <v>55</v>
      </c>
    </row>
    <row r="21" spans="1:18" ht="30" x14ac:dyDescent="0.25">
      <c r="A21" s="8">
        <v>5</v>
      </c>
      <c r="B21" s="91" t="s">
        <v>47</v>
      </c>
      <c r="C21" s="8"/>
      <c r="D21" s="8" t="s">
        <v>56</v>
      </c>
      <c r="E21" s="152">
        <f t="shared" si="6"/>
        <v>69</v>
      </c>
      <c r="F21" s="152">
        <f t="shared" si="1"/>
        <v>69</v>
      </c>
      <c r="G21" s="152"/>
      <c r="H21" s="152">
        <v>69</v>
      </c>
      <c r="I21" s="8"/>
      <c r="J21" s="8"/>
      <c r="K21" s="8"/>
      <c r="L21" s="8" t="s">
        <v>56</v>
      </c>
    </row>
    <row r="22" spans="1:18" ht="30" x14ac:dyDescent="0.25">
      <c r="A22" s="8">
        <v>6</v>
      </c>
      <c r="B22" s="91" t="s">
        <v>38</v>
      </c>
      <c r="C22" s="8"/>
      <c r="D22" s="8" t="s">
        <v>56</v>
      </c>
      <c r="E22" s="152">
        <f t="shared" si="6"/>
        <v>69</v>
      </c>
      <c r="F22" s="152">
        <f t="shared" si="1"/>
        <v>69</v>
      </c>
      <c r="G22" s="152"/>
      <c r="H22" s="152">
        <v>69</v>
      </c>
      <c r="I22" s="8"/>
      <c r="J22" s="8"/>
      <c r="K22" s="8"/>
      <c r="L22" s="8" t="s">
        <v>56</v>
      </c>
    </row>
    <row r="23" spans="1:18" ht="17.25" customHeight="1" x14ac:dyDescent="0.25">
      <c r="A23" s="98" t="s">
        <v>32</v>
      </c>
      <c r="B23" s="171" t="s">
        <v>33</v>
      </c>
      <c r="C23" s="172"/>
      <c r="D23" s="173"/>
      <c r="E23" s="154">
        <f t="shared" ref="E23:K23" si="7">+E24+E29+E35+E40+E47+E52+E62+E77</f>
        <v>25244.838960666668</v>
      </c>
      <c r="F23" s="154">
        <f t="shared" si="1"/>
        <v>18296</v>
      </c>
      <c r="G23" s="154">
        <f t="shared" si="7"/>
        <v>18296</v>
      </c>
      <c r="H23" s="154">
        <f t="shared" si="7"/>
        <v>0</v>
      </c>
      <c r="I23" s="98">
        <f t="shared" si="7"/>
        <v>0</v>
      </c>
      <c r="J23" s="98">
        <f t="shared" si="7"/>
        <v>4490.1445939999994</v>
      </c>
      <c r="K23" s="98">
        <f t="shared" si="7"/>
        <v>2466.149477777778</v>
      </c>
      <c r="L23" s="98" t="s">
        <v>34</v>
      </c>
      <c r="M23" s="7">
        <f t="shared" ref="M23:M34" si="8">+N23+O23+P23+Q23+R23</f>
        <v>100.02953122863143</v>
      </c>
      <c r="N23" s="10">
        <f t="shared" ref="N23:R38" si="9">+G23/$E23*100</f>
        <v>72.474219496929749</v>
      </c>
      <c r="O23" s="10">
        <f t="shared" si="9"/>
        <v>0</v>
      </c>
      <c r="P23" s="10">
        <f t="shared" si="9"/>
        <v>0</v>
      </c>
      <c r="Q23" s="10">
        <f t="shared" si="9"/>
        <v>17.786386361964826</v>
      </c>
      <c r="R23" s="10">
        <f t="shared" si="9"/>
        <v>9.7689253697368468</v>
      </c>
    </row>
    <row r="24" spans="1:18" ht="16.5" x14ac:dyDescent="0.25">
      <c r="A24" s="17" t="s">
        <v>19</v>
      </c>
      <c r="B24" s="92" t="s">
        <v>30</v>
      </c>
      <c r="C24" s="17"/>
      <c r="D24" s="12"/>
      <c r="E24" s="154">
        <f>+SUM(E25:E28)</f>
        <v>2795.2222222222217</v>
      </c>
      <c r="F24" s="154">
        <f t="shared" si="1"/>
        <v>2287</v>
      </c>
      <c r="G24" s="154">
        <f t="shared" ref="G24:K24" si="10">+SUM(G25:G28)</f>
        <v>2287</v>
      </c>
      <c r="H24" s="157">
        <f t="shared" si="10"/>
        <v>0</v>
      </c>
      <c r="I24" s="12">
        <f t="shared" si="10"/>
        <v>0</v>
      </c>
      <c r="J24" s="12">
        <f t="shared" si="10"/>
        <v>228.7</v>
      </c>
      <c r="K24" s="12">
        <f t="shared" si="10"/>
        <v>279.52222222222224</v>
      </c>
      <c r="L24" s="11"/>
      <c r="M24" s="7">
        <f t="shared" si="8"/>
        <v>100.00000000000003</v>
      </c>
      <c r="N24" s="10">
        <f t="shared" si="9"/>
        <v>81.818181818181841</v>
      </c>
      <c r="O24" s="10">
        <f t="shared" si="9"/>
        <v>0</v>
      </c>
      <c r="P24" s="10">
        <f t="shared" si="9"/>
        <v>0</v>
      </c>
      <c r="Q24" s="10">
        <f t="shared" si="9"/>
        <v>8.1818181818181834</v>
      </c>
      <c r="R24" s="10">
        <f t="shared" si="9"/>
        <v>10.000000000000002</v>
      </c>
    </row>
    <row r="25" spans="1:18" s="14" customFormat="1" ht="75" customHeight="1" outlineLevel="1" x14ac:dyDescent="0.25">
      <c r="A25" s="13">
        <v>1</v>
      </c>
      <c r="B25" s="29" t="s">
        <v>147</v>
      </c>
      <c r="C25" s="8" t="s">
        <v>57</v>
      </c>
      <c r="D25" s="27" t="s">
        <v>58</v>
      </c>
      <c r="E25" s="152">
        <f>+SUM(G25:K25)</f>
        <v>820.11111111111109</v>
      </c>
      <c r="F25" s="152">
        <f t="shared" si="1"/>
        <v>671</v>
      </c>
      <c r="G25" s="158">
        <v>671</v>
      </c>
      <c r="H25" s="158">
        <v>0</v>
      </c>
      <c r="I25" s="28">
        <v>0</v>
      </c>
      <c r="J25" s="28">
        <v>67.099999999999994</v>
      </c>
      <c r="K25" s="28">
        <f>+(G25+J25)/0.9*0.1</f>
        <v>82.01111111111112</v>
      </c>
      <c r="L25" s="27" t="s">
        <v>58</v>
      </c>
      <c r="M25" s="7">
        <f t="shared" si="8"/>
        <v>100.00000000000001</v>
      </c>
      <c r="N25" s="10">
        <f t="shared" si="9"/>
        <v>81.818181818181827</v>
      </c>
      <c r="O25" s="10">
        <f t="shared" si="9"/>
        <v>0</v>
      </c>
      <c r="P25" s="10">
        <f t="shared" si="9"/>
        <v>0</v>
      </c>
      <c r="Q25" s="10">
        <f t="shared" si="9"/>
        <v>8.1818181818181817</v>
      </c>
      <c r="R25" s="10">
        <f t="shared" si="9"/>
        <v>10.000000000000002</v>
      </c>
    </row>
    <row r="26" spans="1:18" s="14" customFormat="1" ht="65.25" customHeight="1" outlineLevel="1" x14ac:dyDescent="0.25">
      <c r="A26" s="13">
        <f>+A25+1</f>
        <v>2</v>
      </c>
      <c r="B26" s="29" t="s">
        <v>148</v>
      </c>
      <c r="C26" s="8" t="s">
        <v>57</v>
      </c>
      <c r="D26" s="27" t="s">
        <v>59</v>
      </c>
      <c r="E26" s="152">
        <f t="shared" ref="E26:E28" si="11">+SUM(G26:K26)</f>
        <v>569.55555555555554</v>
      </c>
      <c r="F26" s="152">
        <f t="shared" si="1"/>
        <v>466</v>
      </c>
      <c r="G26" s="158">
        <v>466</v>
      </c>
      <c r="H26" s="158">
        <v>0</v>
      </c>
      <c r="I26" s="28">
        <v>0</v>
      </c>
      <c r="J26" s="28">
        <v>46.6</v>
      </c>
      <c r="K26" s="28">
        <f t="shared" ref="K26:K28" si="12">+(G26+J26)/0.9*0.1</f>
        <v>56.955555555555556</v>
      </c>
      <c r="L26" s="27" t="s">
        <v>59</v>
      </c>
      <c r="M26" s="7">
        <f t="shared" si="8"/>
        <v>100.00000000000001</v>
      </c>
      <c r="N26" s="10">
        <f t="shared" si="9"/>
        <v>81.818181818181827</v>
      </c>
      <c r="O26" s="10">
        <f t="shared" si="9"/>
        <v>0</v>
      </c>
      <c r="P26" s="10">
        <f t="shared" si="9"/>
        <v>0</v>
      </c>
      <c r="Q26" s="10">
        <f t="shared" si="9"/>
        <v>8.1818181818181817</v>
      </c>
      <c r="R26" s="10">
        <f t="shared" si="9"/>
        <v>10</v>
      </c>
    </row>
    <row r="27" spans="1:18" s="14" customFormat="1" ht="60" outlineLevel="1" x14ac:dyDescent="0.25">
      <c r="A27" s="13">
        <f t="shared" ref="A27:A28" si="13">+A26+1</f>
        <v>3</v>
      </c>
      <c r="B27" s="29" t="s">
        <v>149</v>
      </c>
      <c r="C27" s="8" t="s">
        <v>57</v>
      </c>
      <c r="D27" s="29" t="s">
        <v>60</v>
      </c>
      <c r="E27" s="152">
        <f t="shared" si="11"/>
        <v>574.44444444444446</v>
      </c>
      <c r="F27" s="152">
        <f t="shared" si="1"/>
        <v>470</v>
      </c>
      <c r="G27" s="158">
        <v>470</v>
      </c>
      <c r="H27" s="158">
        <v>0</v>
      </c>
      <c r="I27" s="28">
        <v>0</v>
      </c>
      <c r="J27" s="28">
        <v>47</v>
      </c>
      <c r="K27" s="28">
        <f t="shared" si="12"/>
        <v>57.44444444444445</v>
      </c>
      <c r="L27" s="29" t="s">
        <v>60</v>
      </c>
      <c r="M27" s="7">
        <f t="shared" si="8"/>
        <v>100</v>
      </c>
      <c r="N27" s="10">
        <f t="shared" si="9"/>
        <v>81.818181818181813</v>
      </c>
      <c r="O27" s="10">
        <f t="shared" si="9"/>
        <v>0</v>
      </c>
      <c r="P27" s="10">
        <f t="shared" si="9"/>
        <v>0</v>
      </c>
      <c r="Q27" s="10">
        <f t="shared" si="9"/>
        <v>8.1818181818181817</v>
      </c>
      <c r="R27" s="10">
        <f t="shared" si="9"/>
        <v>10</v>
      </c>
    </row>
    <row r="28" spans="1:18" s="14" customFormat="1" ht="61.5" customHeight="1" outlineLevel="1" x14ac:dyDescent="0.25">
      <c r="A28" s="13">
        <f t="shared" si="13"/>
        <v>4</v>
      </c>
      <c r="B28" s="29" t="s">
        <v>150</v>
      </c>
      <c r="C28" s="8" t="s">
        <v>57</v>
      </c>
      <c r="D28" s="8" t="s">
        <v>61</v>
      </c>
      <c r="E28" s="152">
        <f t="shared" si="11"/>
        <v>831.11111111111109</v>
      </c>
      <c r="F28" s="152">
        <f t="shared" si="1"/>
        <v>680</v>
      </c>
      <c r="G28" s="158">
        <v>680</v>
      </c>
      <c r="H28" s="158">
        <v>0</v>
      </c>
      <c r="I28" s="28">
        <v>0</v>
      </c>
      <c r="J28" s="28">
        <v>68</v>
      </c>
      <c r="K28" s="28">
        <f t="shared" si="12"/>
        <v>83.111111111111114</v>
      </c>
      <c r="L28" s="29" t="s">
        <v>61</v>
      </c>
      <c r="M28" s="7">
        <f t="shared" si="8"/>
        <v>100.00000000000001</v>
      </c>
      <c r="N28" s="10">
        <f t="shared" si="9"/>
        <v>81.818181818181827</v>
      </c>
      <c r="O28" s="10">
        <f t="shared" si="9"/>
        <v>0</v>
      </c>
      <c r="P28" s="10">
        <f t="shared" si="9"/>
        <v>0</v>
      </c>
      <c r="Q28" s="10">
        <f t="shared" si="9"/>
        <v>8.1818181818181817</v>
      </c>
      <c r="R28" s="10">
        <f t="shared" si="9"/>
        <v>10</v>
      </c>
    </row>
    <row r="29" spans="1:18" s="32" customFormat="1" ht="16.5" x14ac:dyDescent="0.25">
      <c r="A29" s="30" t="s">
        <v>25</v>
      </c>
      <c r="B29" s="87" t="s">
        <v>28</v>
      </c>
      <c r="C29" s="109"/>
      <c r="D29" s="31"/>
      <c r="E29" s="154">
        <f>+SUM(E30:E34)</f>
        <v>2795.2222222222222</v>
      </c>
      <c r="F29" s="154">
        <f t="shared" si="1"/>
        <v>2287</v>
      </c>
      <c r="G29" s="157">
        <f>+SUM(G30:G34)</f>
        <v>2287</v>
      </c>
      <c r="H29" s="157">
        <f t="shared" ref="H29:K29" si="14">+SUM(H30:H34)</f>
        <v>0</v>
      </c>
      <c r="I29" s="12">
        <f t="shared" si="14"/>
        <v>0</v>
      </c>
      <c r="J29" s="12">
        <f t="shared" si="14"/>
        <v>228.70000000000002</v>
      </c>
      <c r="K29" s="12">
        <f t="shared" si="14"/>
        <v>279.52222222222224</v>
      </c>
      <c r="L29" s="31"/>
      <c r="M29" s="7">
        <f t="shared" si="8"/>
        <v>100.00000000000001</v>
      </c>
      <c r="N29" s="10">
        <f t="shared" si="9"/>
        <v>81.818181818181827</v>
      </c>
      <c r="O29" s="10">
        <f t="shared" si="9"/>
        <v>0</v>
      </c>
      <c r="P29" s="10">
        <f t="shared" si="9"/>
        <v>0</v>
      </c>
      <c r="Q29" s="10">
        <f t="shared" si="9"/>
        <v>8.1818181818181834</v>
      </c>
      <c r="R29" s="10">
        <f t="shared" si="9"/>
        <v>10</v>
      </c>
    </row>
    <row r="30" spans="1:18" s="32" customFormat="1" ht="90" x14ac:dyDescent="0.25">
      <c r="A30" s="13">
        <v>1</v>
      </c>
      <c r="B30" s="93" t="s">
        <v>155</v>
      </c>
      <c r="C30" s="42" t="s">
        <v>62</v>
      </c>
      <c r="D30" s="34" t="s">
        <v>63</v>
      </c>
      <c r="E30" s="152">
        <v>820.11111111111109</v>
      </c>
      <c r="F30" s="152">
        <f t="shared" si="1"/>
        <v>671</v>
      </c>
      <c r="G30" s="153">
        <v>671</v>
      </c>
      <c r="H30" s="153"/>
      <c r="I30" s="35"/>
      <c r="J30" s="35">
        <v>67.099999999999994</v>
      </c>
      <c r="K30" s="35">
        <v>82.01111111111112</v>
      </c>
      <c r="L30" s="34" t="s">
        <v>63</v>
      </c>
      <c r="M30" s="7">
        <f t="shared" si="8"/>
        <v>100.00000000000001</v>
      </c>
      <c r="N30" s="10">
        <f t="shared" si="9"/>
        <v>81.818181818181827</v>
      </c>
      <c r="O30" s="10">
        <f t="shared" si="9"/>
        <v>0</v>
      </c>
      <c r="P30" s="10">
        <f t="shared" si="9"/>
        <v>0</v>
      </c>
      <c r="Q30" s="10">
        <f t="shared" si="9"/>
        <v>8.1818181818181817</v>
      </c>
      <c r="R30" s="10">
        <f t="shared" si="9"/>
        <v>10.000000000000002</v>
      </c>
    </row>
    <row r="31" spans="1:18" s="32" customFormat="1" ht="45" x14ac:dyDescent="0.25">
      <c r="A31" s="13">
        <v>2</v>
      </c>
      <c r="B31" s="93" t="s">
        <v>152</v>
      </c>
      <c r="C31" s="42" t="s">
        <v>62</v>
      </c>
      <c r="D31" s="34" t="s">
        <v>64</v>
      </c>
      <c r="E31" s="152">
        <v>534.11111111111109</v>
      </c>
      <c r="F31" s="152">
        <f t="shared" si="1"/>
        <v>437</v>
      </c>
      <c r="G31" s="153">
        <v>437</v>
      </c>
      <c r="H31" s="153"/>
      <c r="I31" s="35"/>
      <c r="J31" s="35">
        <v>43.7</v>
      </c>
      <c r="K31" s="35">
        <v>53.411111111111119</v>
      </c>
      <c r="L31" s="34" t="s">
        <v>64</v>
      </c>
      <c r="M31" s="7">
        <f t="shared" si="8"/>
        <v>100.00000000000001</v>
      </c>
      <c r="N31" s="10">
        <f t="shared" si="9"/>
        <v>81.818181818181827</v>
      </c>
      <c r="O31" s="10">
        <f t="shared" si="9"/>
        <v>0</v>
      </c>
      <c r="P31" s="10">
        <f t="shared" si="9"/>
        <v>0</v>
      </c>
      <c r="Q31" s="10">
        <f t="shared" si="9"/>
        <v>8.1818181818181834</v>
      </c>
      <c r="R31" s="10">
        <f t="shared" si="9"/>
        <v>10.000000000000002</v>
      </c>
    </row>
    <row r="32" spans="1:18" s="32" customFormat="1" ht="30.75" customHeight="1" x14ac:dyDescent="0.25">
      <c r="A32" s="13">
        <v>3</v>
      </c>
      <c r="B32" s="94" t="s">
        <v>151</v>
      </c>
      <c r="C32" s="42" t="s">
        <v>62</v>
      </c>
      <c r="D32" s="34" t="s">
        <v>65</v>
      </c>
      <c r="E32" s="152">
        <v>342.22222222222223</v>
      </c>
      <c r="F32" s="152">
        <f t="shared" si="1"/>
        <v>280</v>
      </c>
      <c r="G32" s="153">
        <v>280</v>
      </c>
      <c r="H32" s="153"/>
      <c r="I32" s="35"/>
      <c r="J32" s="35">
        <v>28</v>
      </c>
      <c r="K32" s="35">
        <v>34.222222222222221</v>
      </c>
      <c r="L32" s="34" t="s">
        <v>65</v>
      </c>
      <c r="M32" s="7">
        <f t="shared" si="8"/>
        <v>100</v>
      </c>
      <c r="N32" s="10">
        <f t="shared" si="9"/>
        <v>81.818181818181813</v>
      </c>
      <c r="O32" s="10">
        <f t="shared" si="9"/>
        <v>0</v>
      </c>
      <c r="P32" s="10">
        <f t="shared" si="9"/>
        <v>0</v>
      </c>
      <c r="Q32" s="10">
        <f t="shared" si="9"/>
        <v>8.1818181818181817</v>
      </c>
      <c r="R32" s="10">
        <f t="shared" si="9"/>
        <v>10</v>
      </c>
    </row>
    <row r="33" spans="1:18" s="32" customFormat="1" ht="31.5" customHeight="1" x14ac:dyDescent="0.25">
      <c r="A33" s="13">
        <v>4</v>
      </c>
      <c r="B33" s="93" t="s">
        <v>153</v>
      </c>
      <c r="C33" s="42" t="s">
        <v>62</v>
      </c>
      <c r="D33" s="34" t="s">
        <v>66</v>
      </c>
      <c r="E33" s="152">
        <v>342.22222222222223</v>
      </c>
      <c r="F33" s="152">
        <f t="shared" si="1"/>
        <v>280</v>
      </c>
      <c r="G33" s="153">
        <v>280</v>
      </c>
      <c r="H33" s="153"/>
      <c r="I33" s="35"/>
      <c r="J33" s="35">
        <v>28</v>
      </c>
      <c r="K33" s="35">
        <v>34.222222222222221</v>
      </c>
      <c r="L33" s="34" t="s">
        <v>66</v>
      </c>
      <c r="M33" s="7">
        <f t="shared" si="8"/>
        <v>100</v>
      </c>
      <c r="N33" s="10">
        <f t="shared" si="9"/>
        <v>81.818181818181813</v>
      </c>
      <c r="O33" s="10">
        <f t="shared" si="9"/>
        <v>0</v>
      </c>
      <c r="P33" s="10">
        <f t="shared" si="9"/>
        <v>0</v>
      </c>
      <c r="Q33" s="10">
        <f t="shared" si="9"/>
        <v>8.1818181818181817</v>
      </c>
      <c r="R33" s="10">
        <f t="shared" si="9"/>
        <v>10</v>
      </c>
    </row>
    <row r="34" spans="1:18" s="32" customFormat="1" ht="47.25" customHeight="1" x14ac:dyDescent="0.25">
      <c r="A34" s="13">
        <v>5</v>
      </c>
      <c r="B34" s="93" t="s">
        <v>154</v>
      </c>
      <c r="C34" s="42" t="s">
        <v>62</v>
      </c>
      <c r="D34" s="34" t="s">
        <v>67</v>
      </c>
      <c r="E34" s="152">
        <v>756.55555555555554</v>
      </c>
      <c r="F34" s="152">
        <f t="shared" si="1"/>
        <v>619</v>
      </c>
      <c r="G34" s="153">
        <v>619</v>
      </c>
      <c r="H34" s="153"/>
      <c r="I34" s="35"/>
      <c r="J34" s="35">
        <v>61.9</v>
      </c>
      <c r="K34" s="35">
        <v>75.655555555555551</v>
      </c>
      <c r="L34" s="34" t="s">
        <v>67</v>
      </c>
      <c r="M34" s="7">
        <f t="shared" si="8"/>
        <v>100.00000000000001</v>
      </c>
      <c r="N34" s="10">
        <f t="shared" si="9"/>
        <v>81.818181818181827</v>
      </c>
      <c r="O34" s="10">
        <f t="shared" si="9"/>
        <v>0</v>
      </c>
      <c r="P34" s="10">
        <f t="shared" si="9"/>
        <v>0</v>
      </c>
      <c r="Q34" s="10">
        <f t="shared" si="9"/>
        <v>8.1818181818181817</v>
      </c>
      <c r="R34" s="10">
        <f t="shared" si="9"/>
        <v>10</v>
      </c>
    </row>
    <row r="35" spans="1:18" s="6" customFormat="1" ht="16.5" x14ac:dyDescent="0.25">
      <c r="A35" s="17" t="s">
        <v>35</v>
      </c>
      <c r="B35" s="92" t="s">
        <v>36</v>
      </c>
      <c r="C35" s="17"/>
      <c r="D35" s="12"/>
      <c r="E35" s="154">
        <f>+SUM(E36:E39)</f>
        <v>2795.2222222222222</v>
      </c>
      <c r="F35" s="154">
        <f t="shared" si="1"/>
        <v>2287</v>
      </c>
      <c r="G35" s="154">
        <f t="shared" ref="G35:K35" si="15">+SUM(G36:G39)</f>
        <v>2287</v>
      </c>
      <c r="H35" s="157">
        <f t="shared" si="15"/>
        <v>0</v>
      </c>
      <c r="I35" s="12">
        <f t="shared" si="15"/>
        <v>0</v>
      </c>
      <c r="J35" s="12">
        <f t="shared" si="15"/>
        <v>228.7</v>
      </c>
      <c r="K35" s="12">
        <f t="shared" si="15"/>
        <v>279.52222222222224</v>
      </c>
      <c r="L35" s="12"/>
      <c r="M35" s="7">
        <f>+N35+O35+P35+Q35+R35</f>
        <v>100.00000000000001</v>
      </c>
      <c r="N35" s="10">
        <f>+G35/$E35*100</f>
        <v>81.818181818181827</v>
      </c>
      <c r="O35" s="10">
        <f t="shared" si="9"/>
        <v>0</v>
      </c>
      <c r="P35" s="10">
        <f t="shared" si="9"/>
        <v>0</v>
      </c>
      <c r="Q35" s="10">
        <f t="shared" si="9"/>
        <v>8.1818181818181817</v>
      </c>
      <c r="R35" s="10">
        <f t="shared" si="9"/>
        <v>10</v>
      </c>
    </row>
    <row r="36" spans="1:18" s="14" customFormat="1" ht="30" outlineLevel="1" x14ac:dyDescent="0.25">
      <c r="A36" s="13">
        <v>1</v>
      </c>
      <c r="B36" s="29" t="s">
        <v>68</v>
      </c>
      <c r="C36" s="8" t="s">
        <v>69</v>
      </c>
      <c r="D36" s="8" t="s">
        <v>70</v>
      </c>
      <c r="E36" s="152">
        <f>+SUM(G36:K36)</f>
        <v>820.11111111111109</v>
      </c>
      <c r="F36" s="152">
        <f t="shared" si="1"/>
        <v>671</v>
      </c>
      <c r="G36" s="158">
        <v>671</v>
      </c>
      <c r="H36" s="158"/>
      <c r="I36" s="28"/>
      <c r="J36" s="28">
        <v>67.099999999999994</v>
      </c>
      <c r="K36" s="28">
        <f>(G36+J36)/0.9*0.1</f>
        <v>82.01111111111112</v>
      </c>
      <c r="L36" s="8" t="s">
        <v>70</v>
      </c>
      <c r="M36" s="7">
        <f t="shared" ref="M36:M80" si="16">+N36+O36+P36+Q36+R36</f>
        <v>100.00000000000001</v>
      </c>
      <c r="N36" s="10">
        <f t="shared" ref="N36:R52" si="17">+G36/$E36*100</f>
        <v>81.818181818181827</v>
      </c>
      <c r="O36" s="10">
        <f t="shared" si="9"/>
        <v>0</v>
      </c>
      <c r="P36" s="10">
        <f t="shared" si="9"/>
        <v>0</v>
      </c>
      <c r="Q36" s="10">
        <f t="shared" si="9"/>
        <v>8.1818181818181817</v>
      </c>
      <c r="R36" s="10">
        <f t="shared" si="9"/>
        <v>10.000000000000002</v>
      </c>
    </row>
    <row r="37" spans="1:18" s="14" customFormat="1" ht="30" outlineLevel="1" x14ac:dyDescent="0.25">
      <c r="A37" s="13">
        <v>2</v>
      </c>
      <c r="B37" s="29" t="s">
        <v>71</v>
      </c>
      <c r="C37" s="8" t="s">
        <v>69</v>
      </c>
      <c r="D37" s="8" t="s">
        <v>72</v>
      </c>
      <c r="E37" s="152">
        <f t="shared" ref="E37:E39" si="18">+SUM(G37:K37)</f>
        <v>488.88888888888891</v>
      </c>
      <c r="F37" s="152">
        <f t="shared" si="1"/>
        <v>400</v>
      </c>
      <c r="G37" s="158">
        <v>400</v>
      </c>
      <c r="H37" s="158"/>
      <c r="I37" s="28"/>
      <c r="J37" s="28">
        <v>40</v>
      </c>
      <c r="K37" s="28">
        <f t="shared" ref="K37:K39" si="19">(G37+J37)/0.9*0.1</f>
        <v>48.888888888888886</v>
      </c>
      <c r="L37" s="8" t="s">
        <v>72</v>
      </c>
      <c r="M37" s="7">
        <f t="shared" si="16"/>
        <v>100</v>
      </c>
      <c r="N37" s="10">
        <f t="shared" si="17"/>
        <v>81.818181818181813</v>
      </c>
      <c r="O37" s="10">
        <f t="shared" si="9"/>
        <v>0</v>
      </c>
      <c r="P37" s="10">
        <f t="shared" si="9"/>
        <v>0</v>
      </c>
      <c r="Q37" s="10">
        <f t="shared" si="9"/>
        <v>8.1818181818181817</v>
      </c>
      <c r="R37" s="10">
        <f t="shared" si="9"/>
        <v>10</v>
      </c>
    </row>
    <row r="38" spans="1:18" s="14" customFormat="1" ht="30" outlineLevel="1" x14ac:dyDescent="0.25">
      <c r="A38" s="13">
        <v>3</v>
      </c>
      <c r="B38" s="29" t="s">
        <v>73</v>
      </c>
      <c r="C38" s="8" t="s">
        <v>69</v>
      </c>
      <c r="D38" s="8" t="s">
        <v>70</v>
      </c>
      <c r="E38" s="152">
        <f t="shared" si="18"/>
        <v>752.88888888888891</v>
      </c>
      <c r="F38" s="152">
        <f t="shared" si="1"/>
        <v>616</v>
      </c>
      <c r="G38" s="158">
        <v>616</v>
      </c>
      <c r="H38" s="158"/>
      <c r="I38" s="28"/>
      <c r="J38" s="28">
        <v>61.6</v>
      </c>
      <c r="K38" s="28">
        <f t="shared" si="19"/>
        <v>75.288888888888891</v>
      </c>
      <c r="L38" s="8" t="s">
        <v>70</v>
      </c>
      <c r="M38" s="7">
        <f t="shared" si="16"/>
        <v>100</v>
      </c>
      <c r="N38" s="10">
        <f t="shared" si="17"/>
        <v>81.818181818181813</v>
      </c>
      <c r="O38" s="10">
        <f t="shared" si="9"/>
        <v>0</v>
      </c>
      <c r="P38" s="10">
        <f t="shared" si="9"/>
        <v>0</v>
      </c>
      <c r="Q38" s="10">
        <f t="shared" si="9"/>
        <v>8.1818181818181817</v>
      </c>
      <c r="R38" s="10">
        <f t="shared" si="9"/>
        <v>10</v>
      </c>
    </row>
    <row r="39" spans="1:18" s="14" customFormat="1" ht="30" outlineLevel="1" x14ac:dyDescent="0.25">
      <c r="A39" s="13">
        <v>4</v>
      </c>
      <c r="B39" s="29" t="s">
        <v>74</v>
      </c>
      <c r="C39" s="8" t="s">
        <v>69</v>
      </c>
      <c r="D39" s="8" t="s">
        <v>70</v>
      </c>
      <c r="E39" s="152">
        <f t="shared" si="18"/>
        <v>733.33333333333337</v>
      </c>
      <c r="F39" s="152">
        <f t="shared" si="1"/>
        <v>600</v>
      </c>
      <c r="G39" s="158">
        <v>600</v>
      </c>
      <c r="H39" s="158"/>
      <c r="I39" s="28"/>
      <c r="J39" s="28">
        <v>60</v>
      </c>
      <c r="K39" s="28">
        <f t="shared" si="19"/>
        <v>73.333333333333343</v>
      </c>
      <c r="L39" s="8" t="s">
        <v>70</v>
      </c>
      <c r="M39" s="7">
        <f t="shared" si="16"/>
        <v>100</v>
      </c>
      <c r="N39" s="10">
        <f t="shared" si="17"/>
        <v>81.818181818181813</v>
      </c>
      <c r="O39" s="10">
        <f t="shared" si="17"/>
        <v>0</v>
      </c>
      <c r="P39" s="10">
        <f t="shared" si="17"/>
        <v>0</v>
      </c>
      <c r="Q39" s="10">
        <f t="shared" si="17"/>
        <v>8.1818181818181817</v>
      </c>
      <c r="R39" s="10">
        <f t="shared" si="17"/>
        <v>10</v>
      </c>
    </row>
    <row r="40" spans="1:18" s="6" customFormat="1" ht="16.5" x14ac:dyDescent="0.25">
      <c r="A40" s="17" t="s">
        <v>37</v>
      </c>
      <c r="B40" s="92" t="s">
        <v>38</v>
      </c>
      <c r="C40" s="17"/>
      <c r="D40" s="12"/>
      <c r="E40" s="154">
        <f>+SUM(E41:E46)</f>
        <v>2533.6559999999999</v>
      </c>
      <c r="F40" s="154">
        <f t="shared" si="1"/>
        <v>2287.0000000000005</v>
      </c>
      <c r="G40" s="154">
        <f t="shared" ref="G40:K40" si="20">+SUM(G41:G46)</f>
        <v>2287.0000000000005</v>
      </c>
      <c r="H40" s="157">
        <f t="shared" si="20"/>
        <v>0</v>
      </c>
      <c r="I40" s="12">
        <f t="shared" si="20"/>
        <v>0</v>
      </c>
      <c r="J40" s="12">
        <f t="shared" si="20"/>
        <v>0</v>
      </c>
      <c r="K40" s="12">
        <f t="shared" si="20"/>
        <v>254.11111111111111</v>
      </c>
      <c r="L40" s="12"/>
      <c r="M40" s="7">
        <f t="shared" si="16"/>
        <v>100.29424322445951</v>
      </c>
      <c r="N40" s="10">
        <f t="shared" si="17"/>
        <v>90.264818902013559</v>
      </c>
      <c r="O40" s="10">
        <f t="shared" si="17"/>
        <v>0</v>
      </c>
      <c r="P40" s="10">
        <f t="shared" si="17"/>
        <v>0</v>
      </c>
      <c r="Q40" s="10">
        <f t="shared" si="17"/>
        <v>0</v>
      </c>
      <c r="R40" s="10">
        <f t="shared" si="17"/>
        <v>10.029424322445948</v>
      </c>
    </row>
    <row r="41" spans="1:18" s="14" customFormat="1" ht="30" outlineLevel="1" x14ac:dyDescent="0.25">
      <c r="A41" s="13">
        <v>1</v>
      </c>
      <c r="B41" s="29" t="s">
        <v>75</v>
      </c>
      <c r="C41" s="8" t="s">
        <v>76</v>
      </c>
      <c r="D41" s="8" t="s">
        <v>77</v>
      </c>
      <c r="E41" s="152">
        <v>671</v>
      </c>
      <c r="F41" s="152">
        <f t="shared" si="1"/>
        <v>610</v>
      </c>
      <c r="G41" s="158">
        <v>610</v>
      </c>
      <c r="H41" s="158">
        <v>0</v>
      </c>
      <c r="I41" s="28">
        <v>0</v>
      </c>
      <c r="J41" s="28">
        <v>0</v>
      </c>
      <c r="K41" s="28">
        <f>+G41/0.9*0.1</f>
        <v>67.777777777777771</v>
      </c>
      <c r="L41" s="8" t="s">
        <v>77</v>
      </c>
      <c r="M41" s="7">
        <f t="shared" si="16"/>
        <v>101.01010101010101</v>
      </c>
      <c r="N41" s="10">
        <f t="shared" si="17"/>
        <v>90.909090909090907</v>
      </c>
      <c r="O41" s="10">
        <f t="shared" si="17"/>
        <v>0</v>
      </c>
      <c r="P41" s="10">
        <f t="shared" si="17"/>
        <v>0</v>
      </c>
      <c r="Q41" s="10">
        <f t="shared" si="17"/>
        <v>0</v>
      </c>
      <c r="R41" s="10">
        <f t="shared" si="17"/>
        <v>10.1010101010101</v>
      </c>
    </row>
    <row r="42" spans="1:18" s="14" customFormat="1" ht="30" outlineLevel="1" x14ac:dyDescent="0.25">
      <c r="A42" s="13">
        <v>2</v>
      </c>
      <c r="B42" s="29" t="s">
        <v>78</v>
      </c>
      <c r="C42" s="8" t="s">
        <v>76</v>
      </c>
      <c r="D42" s="8" t="s">
        <v>79</v>
      </c>
      <c r="E42" s="152">
        <v>67.099999999999994</v>
      </c>
      <c r="F42" s="152">
        <f t="shared" si="1"/>
        <v>61</v>
      </c>
      <c r="G42" s="158">
        <v>61</v>
      </c>
      <c r="H42" s="158">
        <v>0</v>
      </c>
      <c r="I42" s="28">
        <v>0</v>
      </c>
      <c r="J42" s="28">
        <v>0</v>
      </c>
      <c r="K42" s="28">
        <f t="shared" ref="K42:K46" si="21">+G42/0.9*0.1</f>
        <v>6.7777777777777777</v>
      </c>
      <c r="L42" s="8" t="s">
        <v>79</v>
      </c>
      <c r="M42" s="7">
        <f t="shared" si="16"/>
        <v>101.01010101010102</v>
      </c>
      <c r="N42" s="10">
        <f t="shared" si="17"/>
        <v>90.909090909090921</v>
      </c>
      <c r="O42" s="10">
        <f t="shared" si="17"/>
        <v>0</v>
      </c>
      <c r="P42" s="10">
        <f t="shared" si="17"/>
        <v>0</v>
      </c>
      <c r="Q42" s="10">
        <f t="shared" si="17"/>
        <v>0</v>
      </c>
      <c r="R42" s="10">
        <f t="shared" si="17"/>
        <v>10.101010101010102</v>
      </c>
    </row>
    <row r="43" spans="1:18" s="14" customFormat="1" ht="30.75" customHeight="1" outlineLevel="1" x14ac:dyDescent="0.25">
      <c r="A43" s="13">
        <v>3</v>
      </c>
      <c r="B43" s="29" t="s">
        <v>80</v>
      </c>
      <c r="C43" s="8" t="s">
        <v>76</v>
      </c>
      <c r="D43" s="8" t="s">
        <v>81</v>
      </c>
      <c r="E43" s="152">
        <v>486.15</v>
      </c>
      <c r="F43" s="152">
        <f t="shared" si="1"/>
        <v>437.53500000000003</v>
      </c>
      <c r="G43" s="158">
        <v>437.53500000000003</v>
      </c>
      <c r="H43" s="158">
        <v>0</v>
      </c>
      <c r="I43" s="28">
        <v>0</v>
      </c>
      <c r="J43" s="28">
        <v>0</v>
      </c>
      <c r="K43" s="28">
        <f t="shared" si="21"/>
        <v>48.615000000000009</v>
      </c>
      <c r="L43" s="8" t="s">
        <v>81</v>
      </c>
      <c r="M43" s="7">
        <f t="shared" si="16"/>
        <v>100.00000000000001</v>
      </c>
      <c r="N43" s="10">
        <f t="shared" si="17"/>
        <v>90.000000000000014</v>
      </c>
      <c r="O43" s="10">
        <f t="shared" si="17"/>
        <v>0</v>
      </c>
      <c r="P43" s="10">
        <f t="shared" si="17"/>
        <v>0</v>
      </c>
      <c r="Q43" s="10">
        <f t="shared" si="17"/>
        <v>0</v>
      </c>
      <c r="R43" s="10">
        <f t="shared" si="17"/>
        <v>10.000000000000002</v>
      </c>
    </row>
    <row r="44" spans="1:18" s="14" customFormat="1" ht="30" customHeight="1" outlineLevel="1" x14ac:dyDescent="0.25">
      <c r="A44" s="13">
        <v>4</v>
      </c>
      <c r="B44" s="29" t="s">
        <v>82</v>
      </c>
      <c r="C44" s="8" t="s">
        <v>76</v>
      </c>
      <c r="D44" s="8" t="s">
        <v>83</v>
      </c>
      <c r="E44" s="152">
        <v>232.56</v>
      </c>
      <c r="F44" s="152">
        <f t="shared" si="1"/>
        <v>209.304</v>
      </c>
      <c r="G44" s="158">
        <v>209.304</v>
      </c>
      <c r="H44" s="158">
        <v>0</v>
      </c>
      <c r="I44" s="28">
        <v>0</v>
      </c>
      <c r="J44" s="28">
        <v>0</v>
      </c>
      <c r="K44" s="28">
        <f t="shared" si="21"/>
        <v>23.256</v>
      </c>
      <c r="L44" s="8" t="s">
        <v>83</v>
      </c>
      <c r="M44" s="7">
        <f t="shared" si="16"/>
        <v>100</v>
      </c>
      <c r="N44" s="10">
        <f t="shared" si="17"/>
        <v>90</v>
      </c>
      <c r="O44" s="10">
        <f t="shared" si="17"/>
        <v>0</v>
      </c>
      <c r="P44" s="10">
        <f t="shared" si="17"/>
        <v>0</v>
      </c>
      <c r="Q44" s="10">
        <f t="shared" si="17"/>
        <v>0</v>
      </c>
      <c r="R44" s="10">
        <f t="shared" si="17"/>
        <v>10</v>
      </c>
    </row>
    <row r="45" spans="1:18" s="14" customFormat="1" ht="31.5" customHeight="1" outlineLevel="1" x14ac:dyDescent="0.25">
      <c r="A45" s="13">
        <v>5</v>
      </c>
      <c r="B45" s="29" t="s">
        <v>84</v>
      </c>
      <c r="C45" s="8" t="s">
        <v>76</v>
      </c>
      <c r="D45" s="8" t="s">
        <v>85</v>
      </c>
      <c r="E45" s="152">
        <v>567.12</v>
      </c>
      <c r="F45" s="152">
        <f t="shared" si="1"/>
        <v>510.40800000000002</v>
      </c>
      <c r="G45" s="158">
        <v>510.40800000000002</v>
      </c>
      <c r="H45" s="158">
        <v>0</v>
      </c>
      <c r="I45" s="28">
        <v>0</v>
      </c>
      <c r="J45" s="28">
        <v>0</v>
      </c>
      <c r="K45" s="28">
        <f t="shared" si="21"/>
        <v>56.712000000000003</v>
      </c>
      <c r="L45" s="8" t="s">
        <v>85</v>
      </c>
      <c r="M45" s="7">
        <f t="shared" si="16"/>
        <v>100</v>
      </c>
      <c r="N45" s="10">
        <f t="shared" si="17"/>
        <v>90</v>
      </c>
      <c r="O45" s="10">
        <f t="shared" si="17"/>
        <v>0</v>
      </c>
      <c r="P45" s="10">
        <f t="shared" si="17"/>
        <v>0</v>
      </c>
      <c r="Q45" s="10">
        <f t="shared" si="17"/>
        <v>0</v>
      </c>
      <c r="R45" s="10">
        <f t="shared" si="17"/>
        <v>10</v>
      </c>
    </row>
    <row r="46" spans="1:18" s="14" customFormat="1" ht="31.5" customHeight="1" outlineLevel="1" x14ac:dyDescent="0.25">
      <c r="A46" s="13">
        <v>6</v>
      </c>
      <c r="B46" s="29" t="s">
        <v>86</v>
      </c>
      <c r="C46" s="8" t="s">
        <v>76</v>
      </c>
      <c r="D46" s="8" t="s">
        <v>87</v>
      </c>
      <c r="E46" s="152">
        <v>509.726</v>
      </c>
      <c r="F46" s="152">
        <f t="shared" si="1"/>
        <v>458.75299999999999</v>
      </c>
      <c r="G46" s="158">
        <v>458.75299999999999</v>
      </c>
      <c r="H46" s="158">
        <v>0</v>
      </c>
      <c r="I46" s="28">
        <v>0</v>
      </c>
      <c r="J46" s="28">
        <v>0</v>
      </c>
      <c r="K46" s="28">
        <f t="shared" si="21"/>
        <v>50.972555555555552</v>
      </c>
      <c r="L46" s="8" t="s">
        <v>87</v>
      </c>
      <c r="M46" s="7">
        <f t="shared" si="16"/>
        <v>99.999912807185737</v>
      </c>
      <c r="N46" s="10">
        <f t="shared" si="17"/>
        <v>89.999921526467162</v>
      </c>
      <c r="O46" s="10">
        <f t="shared" si="17"/>
        <v>0</v>
      </c>
      <c r="P46" s="10">
        <f t="shared" si="17"/>
        <v>0</v>
      </c>
      <c r="Q46" s="10">
        <f t="shared" si="17"/>
        <v>0</v>
      </c>
      <c r="R46" s="10">
        <f t="shared" si="17"/>
        <v>9.9999912807185733</v>
      </c>
    </row>
    <row r="47" spans="1:18" s="6" customFormat="1" ht="24" customHeight="1" x14ac:dyDescent="0.25">
      <c r="A47" s="17" t="s">
        <v>39</v>
      </c>
      <c r="B47" s="95" t="s">
        <v>22</v>
      </c>
      <c r="C47" s="17"/>
      <c r="D47" s="12"/>
      <c r="E47" s="154">
        <f>+SUM(E48:E51)</f>
        <v>2541</v>
      </c>
      <c r="F47" s="154">
        <f t="shared" si="1"/>
        <v>2287</v>
      </c>
      <c r="G47" s="154">
        <f t="shared" ref="G47:K47" si="22">+SUM(G48:G51)</f>
        <v>2287</v>
      </c>
      <c r="H47" s="157">
        <f t="shared" si="22"/>
        <v>0</v>
      </c>
      <c r="I47" s="12">
        <f t="shared" si="22"/>
        <v>0</v>
      </c>
      <c r="J47" s="12">
        <f t="shared" si="22"/>
        <v>0</v>
      </c>
      <c r="K47" s="12">
        <f t="shared" si="22"/>
        <v>253.99999999999994</v>
      </c>
      <c r="L47" s="12"/>
      <c r="M47" s="7">
        <f t="shared" si="16"/>
        <v>100</v>
      </c>
      <c r="N47" s="10">
        <f t="shared" si="17"/>
        <v>90.00393545848091</v>
      </c>
      <c r="O47" s="10">
        <f t="shared" si="17"/>
        <v>0</v>
      </c>
      <c r="P47" s="10">
        <f t="shared" si="17"/>
        <v>0</v>
      </c>
      <c r="Q47" s="10">
        <f t="shared" si="17"/>
        <v>0</v>
      </c>
      <c r="R47" s="10">
        <f t="shared" si="17"/>
        <v>9.9960645415190843</v>
      </c>
    </row>
    <row r="48" spans="1:18" ht="45" outlineLevel="1" x14ac:dyDescent="0.25">
      <c r="A48" s="13">
        <v>1</v>
      </c>
      <c r="B48" s="19" t="s">
        <v>88</v>
      </c>
      <c r="C48" s="13" t="s">
        <v>89</v>
      </c>
      <c r="D48" s="13" t="s">
        <v>90</v>
      </c>
      <c r="E48" s="158">
        <v>745</v>
      </c>
      <c r="F48" s="152">
        <f t="shared" si="1"/>
        <v>671</v>
      </c>
      <c r="G48" s="158">
        <v>671</v>
      </c>
      <c r="H48" s="158"/>
      <c r="I48" s="13"/>
      <c r="J48" s="13"/>
      <c r="K48" s="13">
        <f t="shared" ref="K48:K51" si="23">E48-G48</f>
        <v>74</v>
      </c>
      <c r="L48" s="13" t="s">
        <v>90</v>
      </c>
      <c r="M48" s="7">
        <f t="shared" si="16"/>
        <v>100</v>
      </c>
      <c r="N48" s="10">
        <f t="shared" si="17"/>
        <v>90.067114093959731</v>
      </c>
      <c r="O48" s="10">
        <f t="shared" si="17"/>
        <v>0</v>
      </c>
      <c r="P48" s="10">
        <f t="shared" si="17"/>
        <v>0</v>
      </c>
      <c r="Q48" s="10">
        <f t="shared" si="17"/>
        <v>0</v>
      </c>
      <c r="R48" s="10">
        <f t="shared" si="17"/>
        <v>9.9328859060402692</v>
      </c>
    </row>
    <row r="49" spans="1:18" ht="36.75" customHeight="1" outlineLevel="1" x14ac:dyDescent="0.25">
      <c r="A49" s="13">
        <v>2</v>
      </c>
      <c r="B49" s="19" t="s">
        <v>91</v>
      </c>
      <c r="C49" s="13" t="s">
        <v>89</v>
      </c>
      <c r="D49" s="13" t="s">
        <v>92</v>
      </c>
      <c r="E49" s="158">
        <v>624</v>
      </c>
      <c r="F49" s="152">
        <f t="shared" si="1"/>
        <v>561.20000000000005</v>
      </c>
      <c r="G49" s="158">
        <v>561.20000000000005</v>
      </c>
      <c r="H49" s="158"/>
      <c r="I49" s="13"/>
      <c r="J49" s="13"/>
      <c r="K49" s="13">
        <f t="shared" si="23"/>
        <v>62.799999999999955</v>
      </c>
      <c r="L49" s="13" t="s">
        <v>92</v>
      </c>
      <c r="M49" s="7">
        <f t="shared" si="16"/>
        <v>100</v>
      </c>
      <c r="N49" s="10">
        <f t="shared" si="17"/>
        <v>89.935897435897445</v>
      </c>
      <c r="O49" s="10">
        <f t="shared" si="17"/>
        <v>0</v>
      </c>
      <c r="P49" s="10">
        <f t="shared" si="17"/>
        <v>0</v>
      </c>
      <c r="Q49" s="10">
        <f t="shared" si="17"/>
        <v>0</v>
      </c>
      <c r="R49" s="10">
        <f t="shared" si="17"/>
        <v>10.064102564102557</v>
      </c>
    </row>
    <row r="50" spans="1:18" ht="53.25" customHeight="1" outlineLevel="1" x14ac:dyDescent="0.25">
      <c r="A50" s="13">
        <v>3</v>
      </c>
      <c r="B50" s="19" t="s">
        <v>93</v>
      </c>
      <c r="C50" s="13" t="s">
        <v>89</v>
      </c>
      <c r="D50" s="13" t="s">
        <v>94</v>
      </c>
      <c r="E50" s="158">
        <v>432</v>
      </c>
      <c r="F50" s="152">
        <f t="shared" si="1"/>
        <v>388.8</v>
      </c>
      <c r="G50" s="158">
        <f t="shared" ref="G50:G51" si="24">E50*0.9</f>
        <v>388.8</v>
      </c>
      <c r="H50" s="158"/>
      <c r="I50" s="13"/>
      <c r="J50" s="13"/>
      <c r="K50" s="13">
        <f t="shared" si="23"/>
        <v>43.199999999999989</v>
      </c>
      <c r="L50" s="13" t="s">
        <v>94</v>
      </c>
      <c r="M50" s="7">
        <f t="shared" si="16"/>
        <v>100</v>
      </c>
      <c r="N50" s="10">
        <f t="shared" si="17"/>
        <v>90</v>
      </c>
      <c r="O50" s="10">
        <f t="shared" si="17"/>
        <v>0</v>
      </c>
      <c r="P50" s="10">
        <f t="shared" si="17"/>
        <v>0</v>
      </c>
      <c r="Q50" s="10">
        <f t="shared" si="17"/>
        <v>0</v>
      </c>
      <c r="R50" s="10">
        <f t="shared" si="17"/>
        <v>9.9999999999999982</v>
      </c>
    </row>
    <row r="51" spans="1:18" ht="45" outlineLevel="1" x14ac:dyDescent="0.25">
      <c r="A51" s="13">
        <v>4</v>
      </c>
      <c r="B51" s="19" t="s">
        <v>95</v>
      </c>
      <c r="C51" s="13" t="s">
        <v>89</v>
      </c>
      <c r="D51" s="13" t="s">
        <v>96</v>
      </c>
      <c r="E51" s="158">
        <v>740</v>
      </c>
      <c r="F51" s="152">
        <f t="shared" si="1"/>
        <v>666</v>
      </c>
      <c r="G51" s="158">
        <f t="shared" si="24"/>
        <v>666</v>
      </c>
      <c r="H51" s="158"/>
      <c r="I51" s="13"/>
      <c r="J51" s="13"/>
      <c r="K51" s="13">
        <f t="shared" si="23"/>
        <v>74</v>
      </c>
      <c r="L51" s="13" t="s">
        <v>96</v>
      </c>
      <c r="M51" s="7">
        <f t="shared" si="16"/>
        <v>100</v>
      </c>
      <c r="N51" s="10">
        <f t="shared" si="17"/>
        <v>90</v>
      </c>
      <c r="O51" s="10">
        <f t="shared" si="17"/>
        <v>0</v>
      </c>
      <c r="P51" s="10">
        <f t="shared" si="17"/>
        <v>0</v>
      </c>
      <c r="Q51" s="10">
        <f t="shared" si="17"/>
        <v>0</v>
      </c>
      <c r="R51" s="10">
        <f t="shared" si="17"/>
        <v>10</v>
      </c>
    </row>
    <row r="52" spans="1:18" s="6" customFormat="1" ht="21" customHeight="1" x14ac:dyDescent="0.25">
      <c r="A52" s="17" t="s">
        <v>40</v>
      </c>
      <c r="B52" s="95" t="s">
        <v>41</v>
      </c>
      <c r="C52" s="17"/>
      <c r="D52" s="12"/>
      <c r="E52" s="154">
        <f t="shared" ref="E52:J52" si="25">+SUM(E53:E61)</f>
        <v>4459.5992939999996</v>
      </c>
      <c r="F52" s="154">
        <f t="shared" si="1"/>
        <v>2287</v>
      </c>
      <c r="G52" s="154">
        <f t="shared" si="25"/>
        <v>2287</v>
      </c>
      <c r="H52" s="157">
        <f t="shared" si="25"/>
        <v>0</v>
      </c>
      <c r="I52" s="12">
        <f t="shared" si="25"/>
        <v>0</v>
      </c>
      <c r="J52" s="12">
        <f t="shared" si="25"/>
        <v>1785.3192939999999</v>
      </c>
      <c r="K52" s="12">
        <f>+SUM(K53:K61)</f>
        <v>387.28</v>
      </c>
      <c r="L52" s="12"/>
      <c r="M52" s="7">
        <f t="shared" si="16"/>
        <v>100.00000000000001</v>
      </c>
      <c r="N52" s="10">
        <f t="shared" si="17"/>
        <v>51.282634363068411</v>
      </c>
      <c r="O52" s="10">
        <f t="shared" si="17"/>
        <v>0</v>
      </c>
      <c r="P52" s="10">
        <f t="shared" si="17"/>
        <v>0</v>
      </c>
      <c r="Q52" s="10">
        <f t="shared" si="17"/>
        <v>40.033177339542384</v>
      </c>
      <c r="R52" s="10">
        <f t="shared" si="17"/>
        <v>8.6841882973892144</v>
      </c>
    </row>
    <row r="53" spans="1:18" ht="45" outlineLevel="1" x14ac:dyDescent="0.25">
      <c r="A53" s="13">
        <v>1</v>
      </c>
      <c r="B53" s="19" t="s">
        <v>156</v>
      </c>
      <c r="C53" s="13" t="s">
        <v>97</v>
      </c>
      <c r="D53" s="13" t="s">
        <v>98</v>
      </c>
      <c r="E53" s="158">
        <v>472</v>
      </c>
      <c r="F53" s="152">
        <f t="shared" si="1"/>
        <v>165.31450000000001</v>
      </c>
      <c r="G53" s="158">
        <v>165.31450000000001</v>
      </c>
      <c r="H53" s="158"/>
      <c r="I53" s="13"/>
      <c r="J53" s="13">
        <v>259.4855</v>
      </c>
      <c r="K53" s="13">
        <v>47.2</v>
      </c>
      <c r="L53" s="13" t="s">
        <v>98</v>
      </c>
      <c r="M53" s="7">
        <f t="shared" si="16"/>
        <v>100</v>
      </c>
      <c r="N53" s="10">
        <f t="shared" ref="N53:R68" si="26">+G53/$E53*100</f>
        <v>35.024258474576278</v>
      </c>
      <c r="O53" s="10">
        <f t="shared" si="26"/>
        <v>0</v>
      </c>
      <c r="P53" s="10">
        <f t="shared" si="26"/>
        <v>0</v>
      </c>
      <c r="Q53" s="10">
        <f t="shared" si="26"/>
        <v>54.975741525423729</v>
      </c>
      <c r="R53" s="10">
        <f t="shared" si="26"/>
        <v>10</v>
      </c>
    </row>
    <row r="54" spans="1:18" ht="45" outlineLevel="1" x14ac:dyDescent="0.25">
      <c r="A54" s="13">
        <f>+A53+1</f>
        <v>2</v>
      </c>
      <c r="B54" s="19" t="s">
        <v>157</v>
      </c>
      <c r="C54" s="13" t="s">
        <v>97</v>
      </c>
      <c r="D54" s="13" t="s">
        <v>99</v>
      </c>
      <c r="E54" s="158">
        <v>400</v>
      </c>
      <c r="F54" s="152">
        <f t="shared" si="1"/>
        <v>185.16062600000001</v>
      </c>
      <c r="G54" s="158">
        <v>185.16062600000001</v>
      </c>
      <c r="H54" s="158"/>
      <c r="I54" s="13"/>
      <c r="J54" s="13">
        <v>174.83937399999999</v>
      </c>
      <c r="K54" s="13">
        <v>40</v>
      </c>
      <c r="L54" s="13" t="s">
        <v>99</v>
      </c>
      <c r="M54" s="7">
        <f t="shared" si="16"/>
        <v>100</v>
      </c>
      <c r="N54" s="10">
        <f t="shared" si="26"/>
        <v>46.290156500000002</v>
      </c>
      <c r="O54" s="10">
        <f t="shared" si="26"/>
        <v>0</v>
      </c>
      <c r="P54" s="10">
        <f t="shared" si="26"/>
        <v>0</v>
      </c>
      <c r="Q54" s="10">
        <f t="shared" si="26"/>
        <v>43.709843499999998</v>
      </c>
      <c r="R54" s="10">
        <f t="shared" si="26"/>
        <v>10</v>
      </c>
    </row>
    <row r="55" spans="1:18" ht="45" outlineLevel="1" x14ac:dyDescent="0.25">
      <c r="A55" s="13">
        <f t="shared" ref="A55:A61" si="27">+A54+1</f>
        <v>3</v>
      </c>
      <c r="B55" s="19" t="s">
        <v>100</v>
      </c>
      <c r="C55" s="13" t="s">
        <v>97</v>
      </c>
      <c r="D55" s="13" t="s">
        <v>101</v>
      </c>
      <c r="E55" s="158">
        <v>250</v>
      </c>
      <c r="F55" s="152">
        <f t="shared" si="1"/>
        <v>225</v>
      </c>
      <c r="G55" s="158">
        <v>225</v>
      </c>
      <c r="H55" s="158"/>
      <c r="I55" s="13"/>
      <c r="J55" s="13">
        <v>0</v>
      </c>
      <c r="K55" s="13">
        <v>25</v>
      </c>
      <c r="L55" s="13" t="s">
        <v>101</v>
      </c>
      <c r="M55" s="7">
        <f t="shared" si="16"/>
        <v>100</v>
      </c>
      <c r="N55" s="10">
        <f t="shared" si="26"/>
        <v>90</v>
      </c>
      <c r="O55" s="10">
        <f t="shared" si="26"/>
        <v>0</v>
      </c>
      <c r="P55" s="10">
        <f t="shared" si="26"/>
        <v>0</v>
      </c>
      <c r="Q55" s="10">
        <f t="shared" si="26"/>
        <v>0</v>
      </c>
      <c r="R55" s="10">
        <f t="shared" si="26"/>
        <v>10</v>
      </c>
    </row>
    <row r="56" spans="1:18" ht="49.5" customHeight="1" outlineLevel="1" x14ac:dyDescent="0.25">
      <c r="A56" s="13">
        <f t="shared" si="27"/>
        <v>4</v>
      </c>
      <c r="B56" s="19" t="s">
        <v>102</v>
      </c>
      <c r="C56" s="13" t="s">
        <v>97</v>
      </c>
      <c r="D56" s="13" t="s">
        <v>103</v>
      </c>
      <c r="E56" s="158">
        <v>650</v>
      </c>
      <c r="F56" s="152">
        <f t="shared" si="1"/>
        <v>538.66666599999996</v>
      </c>
      <c r="G56" s="158">
        <v>538.66666599999996</v>
      </c>
      <c r="H56" s="158"/>
      <c r="I56" s="13"/>
      <c r="J56" s="13">
        <v>46.333334000000001</v>
      </c>
      <c r="K56" s="13">
        <v>65</v>
      </c>
      <c r="L56" s="13" t="s">
        <v>103</v>
      </c>
      <c r="M56" s="7">
        <f t="shared" si="16"/>
        <v>99.999999999999986</v>
      </c>
      <c r="N56" s="10">
        <f t="shared" si="26"/>
        <v>82.87179476923076</v>
      </c>
      <c r="O56" s="10">
        <f t="shared" si="26"/>
        <v>0</v>
      </c>
      <c r="P56" s="10">
        <f t="shared" si="26"/>
        <v>0</v>
      </c>
      <c r="Q56" s="10">
        <f t="shared" si="26"/>
        <v>7.1282052307692316</v>
      </c>
      <c r="R56" s="10">
        <f t="shared" si="26"/>
        <v>10</v>
      </c>
    </row>
    <row r="57" spans="1:18" ht="36.75" customHeight="1" outlineLevel="1" x14ac:dyDescent="0.25">
      <c r="A57" s="13">
        <f t="shared" si="27"/>
        <v>5</v>
      </c>
      <c r="B57" s="19" t="s">
        <v>158</v>
      </c>
      <c r="C57" s="13" t="s">
        <v>97</v>
      </c>
      <c r="D57" s="13" t="s">
        <v>104</v>
      </c>
      <c r="E57" s="158">
        <v>1900.7999999999997</v>
      </c>
      <c r="F57" s="152">
        <f t="shared" si="1"/>
        <v>538.66666799999996</v>
      </c>
      <c r="G57" s="158">
        <v>538.66666799999996</v>
      </c>
      <c r="H57" s="158"/>
      <c r="I57" s="13"/>
      <c r="J57" s="13">
        <v>1172.053332</v>
      </c>
      <c r="K57" s="13">
        <v>190.08</v>
      </c>
      <c r="L57" s="13" t="s">
        <v>104</v>
      </c>
      <c r="M57" s="7">
        <f t="shared" si="16"/>
        <v>100</v>
      </c>
      <c r="N57" s="10">
        <f t="shared" si="26"/>
        <v>28.338945075757575</v>
      </c>
      <c r="O57" s="10">
        <f t="shared" si="26"/>
        <v>0</v>
      </c>
      <c r="P57" s="10">
        <f t="shared" si="26"/>
        <v>0</v>
      </c>
      <c r="Q57" s="10">
        <f t="shared" si="26"/>
        <v>61.661054924242428</v>
      </c>
      <c r="R57" s="10">
        <f t="shared" si="26"/>
        <v>10.000000000000002</v>
      </c>
    </row>
    <row r="58" spans="1:18" ht="45" outlineLevel="1" x14ac:dyDescent="0.25">
      <c r="A58" s="13">
        <f t="shared" si="27"/>
        <v>6</v>
      </c>
      <c r="B58" s="19" t="s">
        <v>105</v>
      </c>
      <c r="C58" s="13" t="s">
        <v>97</v>
      </c>
      <c r="D58" s="13" t="s">
        <v>106</v>
      </c>
      <c r="E58" s="158">
        <v>200</v>
      </c>
      <c r="F58" s="152">
        <f t="shared" si="1"/>
        <v>128.50604000000001</v>
      </c>
      <c r="G58" s="158">
        <v>128.50604000000001</v>
      </c>
      <c r="H58" s="158"/>
      <c r="I58" s="13"/>
      <c r="J58" s="13">
        <v>51.493960000000001</v>
      </c>
      <c r="K58" s="13">
        <v>20</v>
      </c>
      <c r="L58" s="13" t="s">
        <v>106</v>
      </c>
      <c r="M58" s="7">
        <f t="shared" si="16"/>
        <v>100.00000000000001</v>
      </c>
      <c r="N58" s="10">
        <f t="shared" si="26"/>
        <v>64.253020000000006</v>
      </c>
      <c r="O58" s="10">
        <f t="shared" si="26"/>
        <v>0</v>
      </c>
      <c r="P58" s="10">
        <f t="shared" si="26"/>
        <v>0</v>
      </c>
      <c r="Q58" s="10">
        <f t="shared" si="26"/>
        <v>25.746980000000004</v>
      </c>
      <c r="R58" s="10">
        <f t="shared" si="26"/>
        <v>10</v>
      </c>
    </row>
    <row r="59" spans="1:18" ht="45" outlineLevel="1" x14ac:dyDescent="0.25">
      <c r="A59" s="13">
        <f t="shared" si="27"/>
        <v>7</v>
      </c>
      <c r="B59" s="19" t="s">
        <v>107</v>
      </c>
      <c r="C59" s="13" t="s">
        <v>97</v>
      </c>
      <c r="D59" s="13" t="s">
        <v>43</v>
      </c>
      <c r="E59" s="158">
        <v>313.637294</v>
      </c>
      <c r="F59" s="152">
        <f t="shared" si="1"/>
        <v>282.27356500000002</v>
      </c>
      <c r="G59" s="158">
        <v>282.27356500000002</v>
      </c>
      <c r="H59" s="158"/>
      <c r="I59" s="13"/>
      <c r="J59" s="13">
        <v>31.363728999999999</v>
      </c>
      <c r="K59" s="13">
        <v>0</v>
      </c>
      <c r="L59" s="13" t="s">
        <v>43</v>
      </c>
      <c r="M59" s="7">
        <f t="shared" si="16"/>
        <v>100</v>
      </c>
      <c r="N59" s="10">
        <f t="shared" si="26"/>
        <v>90.000000127535856</v>
      </c>
      <c r="O59" s="10">
        <f t="shared" si="26"/>
        <v>0</v>
      </c>
      <c r="P59" s="10">
        <f t="shared" si="26"/>
        <v>0</v>
      </c>
      <c r="Q59" s="10">
        <f t="shared" si="26"/>
        <v>9.9999998724641461</v>
      </c>
      <c r="R59" s="10">
        <f t="shared" si="26"/>
        <v>0</v>
      </c>
    </row>
    <row r="60" spans="1:18" ht="50.25" customHeight="1" outlineLevel="1" x14ac:dyDescent="0.25">
      <c r="A60" s="13">
        <f t="shared" si="27"/>
        <v>8</v>
      </c>
      <c r="B60" s="19" t="s">
        <v>108</v>
      </c>
      <c r="C60" s="13" t="s">
        <v>97</v>
      </c>
      <c r="D60" s="13" t="s">
        <v>109</v>
      </c>
      <c r="E60" s="158">
        <v>124.095</v>
      </c>
      <c r="F60" s="152">
        <f t="shared" si="1"/>
        <v>111.6855</v>
      </c>
      <c r="G60" s="158">
        <v>111.6855</v>
      </c>
      <c r="H60" s="158"/>
      <c r="I60" s="13"/>
      <c r="J60" s="13">
        <v>12.4095</v>
      </c>
      <c r="K60" s="13">
        <v>0</v>
      </c>
      <c r="L60" s="13" t="s">
        <v>109</v>
      </c>
      <c r="M60" s="7">
        <f t="shared" si="16"/>
        <v>100</v>
      </c>
      <c r="N60" s="10">
        <f t="shared" si="26"/>
        <v>90</v>
      </c>
      <c r="O60" s="10">
        <f t="shared" si="26"/>
        <v>0</v>
      </c>
      <c r="P60" s="10">
        <f t="shared" si="26"/>
        <v>0</v>
      </c>
      <c r="Q60" s="10">
        <f t="shared" si="26"/>
        <v>10</v>
      </c>
      <c r="R60" s="10">
        <f t="shared" si="26"/>
        <v>0</v>
      </c>
    </row>
    <row r="61" spans="1:18" ht="94.5" customHeight="1" outlineLevel="1" x14ac:dyDescent="0.25">
      <c r="A61" s="13">
        <f t="shared" si="27"/>
        <v>9</v>
      </c>
      <c r="B61" s="19" t="s">
        <v>110</v>
      </c>
      <c r="C61" s="13" t="s">
        <v>97</v>
      </c>
      <c r="D61" s="9" t="s">
        <v>111</v>
      </c>
      <c r="E61" s="158">
        <v>149.06700000000001</v>
      </c>
      <c r="F61" s="152">
        <f t="shared" si="1"/>
        <v>111.726435</v>
      </c>
      <c r="G61" s="158">
        <v>111.726435</v>
      </c>
      <c r="H61" s="158"/>
      <c r="I61" s="13"/>
      <c r="J61" s="13">
        <v>37.340564999999998</v>
      </c>
      <c r="K61" s="13">
        <v>0</v>
      </c>
      <c r="L61" s="9" t="s">
        <v>173</v>
      </c>
      <c r="M61" s="7">
        <f t="shared" si="16"/>
        <v>100</v>
      </c>
      <c r="N61" s="10">
        <f t="shared" si="26"/>
        <v>74.950481998027726</v>
      </c>
      <c r="O61" s="10">
        <f t="shared" si="26"/>
        <v>0</v>
      </c>
      <c r="P61" s="10">
        <f t="shared" si="26"/>
        <v>0</v>
      </c>
      <c r="Q61" s="10">
        <f t="shared" si="26"/>
        <v>25.049518001972267</v>
      </c>
      <c r="R61" s="10">
        <f t="shared" si="26"/>
        <v>0</v>
      </c>
    </row>
    <row r="62" spans="1:18" s="6" customFormat="1" ht="16.5" x14ac:dyDescent="0.25">
      <c r="A62" s="17" t="s">
        <v>44</v>
      </c>
      <c r="B62" s="95" t="s">
        <v>45</v>
      </c>
      <c r="C62" s="17"/>
      <c r="D62" s="12"/>
      <c r="E62" s="154">
        <f>+SUM(E63:E76)</f>
        <v>3793.1669999999999</v>
      </c>
      <c r="F62" s="154">
        <f t="shared" si="1"/>
        <v>2287</v>
      </c>
      <c r="G62" s="154">
        <f t="shared" ref="G62:K62" si="28">+SUM(G63:G76)</f>
        <v>2287</v>
      </c>
      <c r="H62" s="157">
        <f t="shared" si="28"/>
        <v>0</v>
      </c>
      <c r="I62" s="12">
        <f t="shared" si="28"/>
        <v>0</v>
      </c>
      <c r="J62" s="12">
        <f t="shared" si="28"/>
        <v>1126.8503000000001</v>
      </c>
      <c r="K62" s="12">
        <f t="shared" si="28"/>
        <v>379.31669999999997</v>
      </c>
      <c r="L62" s="12"/>
      <c r="M62" s="7">
        <f t="shared" si="16"/>
        <v>100</v>
      </c>
      <c r="N62" s="10">
        <f t="shared" si="26"/>
        <v>60.292626188090324</v>
      </c>
      <c r="O62" s="10">
        <f t="shared" si="26"/>
        <v>0</v>
      </c>
      <c r="P62" s="10">
        <f t="shared" si="26"/>
        <v>0</v>
      </c>
      <c r="Q62" s="10">
        <f t="shared" si="26"/>
        <v>29.707373811909683</v>
      </c>
      <c r="R62" s="10">
        <f t="shared" si="26"/>
        <v>10</v>
      </c>
    </row>
    <row r="63" spans="1:18" ht="45" outlineLevel="1" x14ac:dyDescent="0.25">
      <c r="A63" s="22">
        <v>1</v>
      </c>
      <c r="B63" s="37" t="s">
        <v>112</v>
      </c>
      <c r="C63" s="38" t="s">
        <v>113</v>
      </c>
      <c r="D63" s="37" t="s">
        <v>114</v>
      </c>
      <c r="E63" s="152">
        <v>300</v>
      </c>
      <c r="F63" s="152">
        <f t="shared" si="1"/>
        <v>240</v>
      </c>
      <c r="G63" s="152">
        <v>240</v>
      </c>
      <c r="H63" s="154"/>
      <c r="I63" s="40"/>
      <c r="J63" s="39">
        <v>30</v>
      </c>
      <c r="K63" s="41">
        <v>30</v>
      </c>
      <c r="L63" s="37" t="s">
        <v>114</v>
      </c>
      <c r="M63" s="7">
        <f t="shared" si="16"/>
        <v>100</v>
      </c>
      <c r="N63" s="10">
        <f t="shared" si="26"/>
        <v>80</v>
      </c>
      <c r="O63" s="10">
        <f t="shared" si="26"/>
        <v>0</v>
      </c>
      <c r="P63" s="10">
        <f t="shared" si="26"/>
        <v>0</v>
      </c>
      <c r="Q63" s="10">
        <f t="shared" si="26"/>
        <v>10</v>
      </c>
      <c r="R63" s="10">
        <f t="shared" si="26"/>
        <v>10</v>
      </c>
    </row>
    <row r="64" spans="1:18" ht="45" outlineLevel="1" x14ac:dyDescent="0.25">
      <c r="A64" s="22">
        <v>2</v>
      </c>
      <c r="B64" s="37" t="s">
        <v>115</v>
      </c>
      <c r="C64" s="38" t="s">
        <v>113</v>
      </c>
      <c r="D64" s="37" t="s">
        <v>116</v>
      </c>
      <c r="E64" s="152">
        <v>111</v>
      </c>
      <c r="F64" s="152">
        <f t="shared" si="1"/>
        <v>88.8</v>
      </c>
      <c r="G64" s="152">
        <v>88.8</v>
      </c>
      <c r="H64" s="154"/>
      <c r="I64" s="40"/>
      <c r="J64" s="39">
        <v>11.1</v>
      </c>
      <c r="K64" s="41">
        <v>11.1</v>
      </c>
      <c r="L64" s="37" t="s">
        <v>116</v>
      </c>
      <c r="M64" s="7">
        <f t="shared" si="16"/>
        <v>100</v>
      </c>
      <c r="N64" s="10">
        <f t="shared" si="26"/>
        <v>80</v>
      </c>
      <c r="O64" s="10">
        <f t="shared" si="26"/>
        <v>0</v>
      </c>
      <c r="P64" s="10">
        <f t="shared" si="26"/>
        <v>0</v>
      </c>
      <c r="Q64" s="10">
        <f t="shared" si="26"/>
        <v>10</v>
      </c>
      <c r="R64" s="10">
        <f t="shared" si="26"/>
        <v>10</v>
      </c>
    </row>
    <row r="65" spans="1:18" ht="45" outlineLevel="1" x14ac:dyDescent="0.25">
      <c r="A65" s="22">
        <v>3</v>
      </c>
      <c r="B65" s="37" t="s">
        <v>117</v>
      </c>
      <c r="C65" s="38" t="s">
        <v>113</v>
      </c>
      <c r="D65" s="37" t="s">
        <v>118</v>
      </c>
      <c r="E65" s="152">
        <v>210</v>
      </c>
      <c r="F65" s="152">
        <f t="shared" si="1"/>
        <v>168</v>
      </c>
      <c r="G65" s="152">
        <v>168</v>
      </c>
      <c r="H65" s="154"/>
      <c r="I65" s="40"/>
      <c r="J65" s="39">
        <v>21</v>
      </c>
      <c r="K65" s="41">
        <v>21</v>
      </c>
      <c r="L65" s="37" t="s">
        <v>118</v>
      </c>
      <c r="M65" s="7">
        <f t="shared" si="16"/>
        <v>100</v>
      </c>
      <c r="N65" s="10">
        <f t="shared" si="26"/>
        <v>80</v>
      </c>
      <c r="O65" s="10">
        <f t="shared" si="26"/>
        <v>0</v>
      </c>
      <c r="P65" s="10">
        <f t="shared" si="26"/>
        <v>0</v>
      </c>
      <c r="Q65" s="10">
        <f t="shared" si="26"/>
        <v>10</v>
      </c>
      <c r="R65" s="10">
        <f t="shared" si="26"/>
        <v>10</v>
      </c>
    </row>
    <row r="66" spans="1:18" ht="30" outlineLevel="1" x14ac:dyDescent="0.25">
      <c r="A66" s="22">
        <v>4</v>
      </c>
      <c r="B66" s="37" t="s">
        <v>119</v>
      </c>
      <c r="C66" s="38" t="s">
        <v>113</v>
      </c>
      <c r="D66" s="37" t="s">
        <v>120</v>
      </c>
      <c r="E66" s="152">
        <v>317</v>
      </c>
      <c r="F66" s="152">
        <f t="shared" si="1"/>
        <v>174.2</v>
      </c>
      <c r="G66" s="152">
        <v>174.2</v>
      </c>
      <c r="H66" s="154"/>
      <c r="I66" s="40"/>
      <c r="J66" s="41">
        <v>111.1</v>
      </c>
      <c r="K66" s="41">
        <v>31.7</v>
      </c>
      <c r="L66" s="37" t="s">
        <v>120</v>
      </c>
      <c r="M66" s="7">
        <f t="shared" si="16"/>
        <v>100</v>
      </c>
      <c r="N66" s="10">
        <f t="shared" si="26"/>
        <v>54.952681388012614</v>
      </c>
      <c r="O66" s="10">
        <f t="shared" si="26"/>
        <v>0</v>
      </c>
      <c r="P66" s="10">
        <f t="shared" si="26"/>
        <v>0</v>
      </c>
      <c r="Q66" s="10">
        <f t="shared" si="26"/>
        <v>35.047318611987386</v>
      </c>
      <c r="R66" s="10">
        <f t="shared" si="26"/>
        <v>10</v>
      </c>
    </row>
    <row r="67" spans="1:18" ht="45" outlineLevel="1" x14ac:dyDescent="0.25">
      <c r="A67" s="22">
        <v>5</v>
      </c>
      <c r="B67" s="37" t="s">
        <v>121</v>
      </c>
      <c r="C67" s="38" t="s">
        <v>113</v>
      </c>
      <c r="D67" s="37" t="s">
        <v>122</v>
      </c>
      <c r="E67" s="152">
        <v>272.89</v>
      </c>
      <c r="F67" s="152">
        <f t="shared" si="1"/>
        <v>218.31200000000001</v>
      </c>
      <c r="G67" s="152">
        <v>218.31200000000001</v>
      </c>
      <c r="H67" s="154"/>
      <c r="I67" s="20"/>
      <c r="J67" s="42">
        <v>27.289000000000001</v>
      </c>
      <c r="K67" s="41">
        <v>27.289000000000001</v>
      </c>
      <c r="L67" s="37" t="s">
        <v>122</v>
      </c>
      <c r="M67" s="7">
        <f t="shared" si="16"/>
        <v>100</v>
      </c>
      <c r="N67" s="10">
        <f t="shared" si="26"/>
        <v>80</v>
      </c>
      <c r="O67" s="10">
        <f t="shared" si="26"/>
        <v>0</v>
      </c>
      <c r="P67" s="10">
        <f t="shared" si="26"/>
        <v>0</v>
      </c>
      <c r="Q67" s="10">
        <f t="shared" si="26"/>
        <v>10</v>
      </c>
      <c r="R67" s="10">
        <f t="shared" si="26"/>
        <v>10</v>
      </c>
    </row>
    <row r="68" spans="1:18" ht="30" outlineLevel="1" x14ac:dyDescent="0.25">
      <c r="A68" s="22">
        <v>6</v>
      </c>
      <c r="B68" s="37" t="s">
        <v>123</v>
      </c>
      <c r="C68" s="38" t="s">
        <v>113</v>
      </c>
      <c r="D68" s="37" t="s">
        <v>124</v>
      </c>
      <c r="E68" s="152">
        <v>339.60599999999999</v>
      </c>
      <c r="F68" s="152">
        <f t="shared" si="1"/>
        <v>271.6848</v>
      </c>
      <c r="G68" s="152">
        <v>271.6848</v>
      </c>
      <c r="H68" s="154"/>
      <c r="I68" s="20"/>
      <c r="J68" s="42">
        <v>33.960599999999999</v>
      </c>
      <c r="K68" s="41">
        <v>33.960599999999999</v>
      </c>
      <c r="L68" s="37" t="s">
        <v>124</v>
      </c>
      <c r="M68" s="7">
        <f t="shared" si="16"/>
        <v>100</v>
      </c>
      <c r="N68" s="10">
        <f t="shared" si="26"/>
        <v>80</v>
      </c>
      <c r="O68" s="10">
        <f t="shared" si="26"/>
        <v>0</v>
      </c>
      <c r="P68" s="10">
        <f t="shared" si="26"/>
        <v>0</v>
      </c>
      <c r="Q68" s="10">
        <f t="shared" si="26"/>
        <v>10</v>
      </c>
      <c r="R68" s="10">
        <f t="shared" si="26"/>
        <v>10</v>
      </c>
    </row>
    <row r="69" spans="1:18" ht="30" outlineLevel="1" x14ac:dyDescent="0.25">
      <c r="A69" s="22">
        <v>7</v>
      </c>
      <c r="B69" s="37" t="s">
        <v>159</v>
      </c>
      <c r="C69" s="38" t="s">
        <v>113</v>
      </c>
      <c r="D69" s="37" t="s">
        <v>125</v>
      </c>
      <c r="E69" s="152">
        <v>129.67099999999999</v>
      </c>
      <c r="F69" s="152">
        <f t="shared" si="1"/>
        <v>103.7368</v>
      </c>
      <c r="G69" s="152">
        <v>103.7368</v>
      </c>
      <c r="H69" s="154"/>
      <c r="I69" s="20"/>
      <c r="J69" s="42">
        <v>12.9671</v>
      </c>
      <c r="K69" s="41">
        <v>12.9671</v>
      </c>
      <c r="L69" s="37" t="s">
        <v>125</v>
      </c>
      <c r="M69" s="7">
        <f t="shared" si="16"/>
        <v>100</v>
      </c>
      <c r="N69" s="10">
        <f t="shared" ref="N69:R80" si="29">+G69/$E69*100</f>
        <v>80</v>
      </c>
      <c r="O69" s="10">
        <f t="shared" si="29"/>
        <v>0</v>
      </c>
      <c r="P69" s="10">
        <f t="shared" si="29"/>
        <v>0</v>
      </c>
      <c r="Q69" s="10">
        <f t="shared" si="29"/>
        <v>10</v>
      </c>
      <c r="R69" s="10">
        <f t="shared" si="29"/>
        <v>10</v>
      </c>
    </row>
    <row r="70" spans="1:18" ht="30" outlineLevel="1" x14ac:dyDescent="0.25">
      <c r="A70" s="22">
        <v>8</v>
      </c>
      <c r="B70" s="37" t="s">
        <v>126</v>
      </c>
      <c r="C70" s="38" t="s">
        <v>113</v>
      </c>
      <c r="D70" s="37" t="s">
        <v>127</v>
      </c>
      <c r="E70" s="152">
        <v>210</v>
      </c>
      <c r="F70" s="152">
        <f t="shared" si="1"/>
        <v>168</v>
      </c>
      <c r="G70" s="152">
        <v>168</v>
      </c>
      <c r="H70" s="154"/>
      <c r="I70" s="20"/>
      <c r="J70" s="42">
        <v>21</v>
      </c>
      <c r="K70" s="41">
        <v>21</v>
      </c>
      <c r="L70" s="37" t="s">
        <v>127</v>
      </c>
      <c r="M70" s="7">
        <f t="shared" si="16"/>
        <v>100</v>
      </c>
      <c r="N70" s="10">
        <f t="shared" si="29"/>
        <v>80</v>
      </c>
      <c r="O70" s="10">
        <f t="shared" si="29"/>
        <v>0</v>
      </c>
      <c r="P70" s="10">
        <f t="shared" si="29"/>
        <v>0</v>
      </c>
      <c r="Q70" s="10">
        <f t="shared" si="29"/>
        <v>10</v>
      </c>
      <c r="R70" s="10">
        <f t="shared" si="29"/>
        <v>10</v>
      </c>
    </row>
    <row r="71" spans="1:18" ht="30" outlineLevel="1" x14ac:dyDescent="0.25">
      <c r="A71" s="22">
        <v>9</v>
      </c>
      <c r="B71" s="37" t="s">
        <v>128</v>
      </c>
      <c r="C71" s="38" t="s">
        <v>113</v>
      </c>
      <c r="D71" s="37" t="s">
        <v>129</v>
      </c>
      <c r="E71" s="152">
        <v>194</v>
      </c>
      <c r="F71" s="152">
        <f t="shared" si="1"/>
        <v>155.19999999999999</v>
      </c>
      <c r="G71" s="152">
        <v>155.19999999999999</v>
      </c>
      <c r="H71" s="154"/>
      <c r="I71" s="20"/>
      <c r="J71" s="42">
        <v>19.399999999999999</v>
      </c>
      <c r="K71" s="41">
        <v>19.399999999999999</v>
      </c>
      <c r="L71" s="37" t="s">
        <v>129</v>
      </c>
      <c r="M71" s="7">
        <f t="shared" si="16"/>
        <v>100</v>
      </c>
      <c r="N71" s="10">
        <f t="shared" si="29"/>
        <v>80</v>
      </c>
      <c r="O71" s="10">
        <f t="shared" si="29"/>
        <v>0</v>
      </c>
      <c r="P71" s="10">
        <f t="shared" si="29"/>
        <v>0</v>
      </c>
      <c r="Q71" s="10">
        <f t="shared" si="29"/>
        <v>10</v>
      </c>
      <c r="R71" s="10">
        <f t="shared" si="29"/>
        <v>10</v>
      </c>
    </row>
    <row r="72" spans="1:18" ht="30" outlineLevel="1" x14ac:dyDescent="0.25">
      <c r="A72" s="22">
        <v>10</v>
      </c>
      <c r="B72" s="37" t="s">
        <v>130</v>
      </c>
      <c r="C72" s="38" t="s">
        <v>113</v>
      </c>
      <c r="D72" s="37" t="s">
        <v>129</v>
      </c>
      <c r="E72" s="152">
        <v>123</v>
      </c>
      <c r="F72" s="152">
        <f t="shared" ref="F72:F80" si="30">+G72+H72</f>
        <v>98.4</v>
      </c>
      <c r="G72" s="152">
        <v>98.4</v>
      </c>
      <c r="H72" s="154"/>
      <c r="I72" s="20"/>
      <c r="J72" s="42">
        <v>12.3</v>
      </c>
      <c r="K72" s="41">
        <v>12.3</v>
      </c>
      <c r="L72" s="37" t="s">
        <v>129</v>
      </c>
      <c r="M72" s="7">
        <f t="shared" si="16"/>
        <v>100</v>
      </c>
      <c r="N72" s="10">
        <f t="shared" si="29"/>
        <v>80</v>
      </c>
      <c r="O72" s="10">
        <f t="shared" si="29"/>
        <v>0</v>
      </c>
      <c r="P72" s="10">
        <f t="shared" si="29"/>
        <v>0</v>
      </c>
      <c r="Q72" s="10">
        <f t="shared" si="29"/>
        <v>10</v>
      </c>
      <c r="R72" s="10">
        <f t="shared" si="29"/>
        <v>10</v>
      </c>
    </row>
    <row r="73" spans="1:18" ht="30" outlineLevel="1" x14ac:dyDescent="0.25">
      <c r="A73" s="22">
        <v>11</v>
      </c>
      <c r="B73" s="37" t="s">
        <v>131</v>
      </c>
      <c r="C73" s="38" t="s">
        <v>113</v>
      </c>
      <c r="D73" s="37" t="s">
        <v>132</v>
      </c>
      <c r="E73" s="152">
        <v>100</v>
      </c>
      <c r="F73" s="152">
        <f t="shared" si="30"/>
        <v>80</v>
      </c>
      <c r="G73" s="152">
        <v>80</v>
      </c>
      <c r="H73" s="154"/>
      <c r="I73" s="20"/>
      <c r="J73" s="42">
        <v>10</v>
      </c>
      <c r="K73" s="41">
        <v>10</v>
      </c>
      <c r="L73" s="37" t="s">
        <v>132</v>
      </c>
      <c r="M73" s="7">
        <f t="shared" si="16"/>
        <v>100</v>
      </c>
      <c r="N73" s="10">
        <f t="shared" si="29"/>
        <v>80</v>
      </c>
      <c r="O73" s="10">
        <f t="shared" si="29"/>
        <v>0</v>
      </c>
      <c r="P73" s="10">
        <f t="shared" si="29"/>
        <v>0</v>
      </c>
      <c r="Q73" s="10">
        <f t="shared" si="29"/>
        <v>10</v>
      </c>
      <c r="R73" s="10">
        <f t="shared" si="29"/>
        <v>10</v>
      </c>
    </row>
    <row r="74" spans="1:18" ht="30" outlineLevel="1" x14ac:dyDescent="0.25">
      <c r="A74" s="22">
        <v>12</v>
      </c>
      <c r="B74" s="37" t="s">
        <v>133</v>
      </c>
      <c r="C74" s="38" t="s">
        <v>113</v>
      </c>
      <c r="D74" s="37" t="s">
        <v>132</v>
      </c>
      <c r="E74" s="152">
        <v>100</v>
      </c>
      <c r="F74" s="152">
        <f t="shared" si="30"/>
        <v>80</v>
      </c>
      <c r="G74" s="152">
        <v>80</v>
      </c>
      <c r="H74" s="154"/>
      <c r="I74" s="20"/>
      <c r="J74" s="42">
        <v>10</v>
      </c>
      <c r="K74" s="41">
        <v>10</v>
      </c>
      <c r="L74" s="37" t="s">
        <v>132</v>
      </c>
      <c r="M74" s="7">
        <f t="shared" si="16"/>
        <v>100</v>
      </c>
      <c r="N74" s="10">
        <f t="shared" si="29"/>
        <v>80</v>
      </c>
      <c r="O74" s="10">
        <f t="shared" si="29"/>
        <v>0</v>
      </c>
      <c r="P74" s="10">
        <f t="shared" si="29"/>
        <v>0</v>
      </c>
      <c r="Q74" s="10">
        <f t="shared" si="29"/>
        <v>10</v>
      </c>
      <c r="R74" s="10">
        <f t="shared" si="29"/>
        <v>10</v>
      </c>
    </row>
    <row r="75" spans="1:18" s="45" customFormat="1" ht="55.5" customHeight="1" outlineLevel="1" x14ac:dyDescent="0.25">
      <c r="A75" s="22">
        <v>13</v>
      </c>
      <c r="B75" s="37" t="s">
        <v>134</v>
      </c>
      <c r="C75" s="38" t="s">
        <v>113</v>
      </c>
      <c r="D75" s="8" t="s">
        <v>135</v>
      </c>
      <c r="E75" s="152">
        <v>135</v>
      </c>
      <c r="F75" s="152">
        <f t="shared" si="30"/>
        <v>108</v>
      </c>
      <c r="G75" s="152">
        <v>108</v>
      </c>
      <c r="H75" s="154"/>
      <c r="I75" s="39"/>
      <c r="J75" s="39">
        <v>13.5</v>
      </c>
      <c r="K75" s="42">
        <v>13.5</v>
      </c>
      <c r="L75" s="8" t="s">
        <v>135</v>
      </c>
      <c r="M75" s="43">
        <f t="shared" si="16"/>
        <v>100</v>
      </c>
      <c r="N75" s="44">
        <f t="shared" si="29"/>
        <v>80</v>
      </c>
      <c r="O75" s="44">
        <f t="shared" si="29"/>
        <v>0</v>
      </c>
      <c r="P75" s="44">
        <f t="shared" si="29"/>
        <v>0</v>
      </c>
      <c r="Q75" s="44">
        <f t="shared" si="29"/>
        <v>10</v>
      </c>
      <c r="R75" s="44">
        <f t="shared" si="29"/>
        <v>10</v>
      </c>
    </row>
    <row r="76" spans="1:18" ht="75.75" customHeight="1" outlineLevel="1" x14ac:dyDescent="0.25">
      <c r="A76" s="22">
        <v>14</v>
      </c>
      <c r="B76" s="37" t="s">
        <v>136</v>
      </c>
      <c r="C76" s="38" t="s">
        <v>113</v>
      </c>
      <c r="D76" s="9" t="s">
        <v>137</v>
      </c>
      <c r="E76" s="152">
        <v>1251</v>
      </c>
      <c r="F76" s="152">
        <f t="shared" si="30"/>
        <v>332.66640000000001</v>
      </c>
      <c r="G76" s="152">
        <v>332.66640000000001</v>
      </c>
      <c r="H76" s="154"/>
      <c r="I76" s="39"/>
      <c r="J76" s="39">
        <v>793.23360000000002</v>
      </c>
      <c r="K76" s="46">
        <v>125.1</v>
      </c>
      <c r="L76" s="9" t="s">
        <v>137</v>
      </c>
      <c r="M76" s="7">
        <f t="shared" si="16"/>
        <v>100</v>
      </c>
      <c r="N76" s="10">
        <f t="shared" si="29"/>
        <v>26.592038369304554</v>
      </c>
      <c r="O76" s="10">
        <f t="shared" si="29"/>
        <v>0</v>
      </c>
      <c r="P76" s="10">
        <f t="shared" si="29"/>
        <v>0</v>
      </c>
      <c r="Q76" s="10">
        <f t="shared" si="29"/>
        <v>63.407961630695439</v>
      </c>
      <c r="R76" s="10">
        <f t="shared" si="29"/>
        <v>10</v>
      </c>
    </row>
    <row r="77" spans="1:18" s="6" customFormat="1" ht="16.5" x14ac:dyDescent="0.25">
      <c r="A77" s="17" t="s">
        <v>46</v>
      </c>
      <c r="B77" s="95" t="s">
        <v>47</v>
      </c>
      <c r="C77" s="17"/>
      <c r="D77" s="12"/>
      <c r="E77" s="154">
        <f>+SUM(E78:E80)</f>
        <v>3531.75</v>
      </c>
      <c r="F77" s="154">
        <f t="shared" si="30"/>
        <v>2287</v>
      </c>
      <c r="G77" s="154">
        <f t="shared" ref="G77:K77" si="31">+SUM(G78:G80)</f>
        <v>2287</v>
      </c>
      <c r="H77" s="154">
        <f t="shared" si="31"/>
        <v>0</v>
      </c>
      <c r="I77" s="12">
        <f t="shared" si="31"/>
        <v>0</v>
      </c>
      <c r="J77" s="12">
        <f t="shared" si="31"/>
        <v>891.875</v>
      </c>
      <c r="K77" s="12">
        <f t="shared" si="31"/>
        <v>352.875</v>
      </c>
      <c r="L77" s="12"/>
      <c r="M77" s="7">
        <f t="shared" si="16"/>
        <v>99.999999999999986</v>
      </c>
      <c r="N77" s="10">
        <f t="shared" si="29"/>
        <v>64.7554328590642</v>
      </c>
      <c r="O77" s="10">
        <f t="shared" si="29"/>
        <v>0</v>
      </c>
      <c r="P77" s="10">
        <f t="shared" si="29"/>
        <v>0</v>
      </c>
      <c r="Q77" s="10">
        <f t="shared" si="29"/>
        <v>25.253061513414032</v>
      </c>
      <c r="R77" s="10">
        <f t="shared" si="29"/>
        <v>9.9915056275217662</v>
      </c>
    </row>
    <row r="78" spans="1:18" ht="45" outlineLevel="1" x14ac:dyDescent="0.25">
      <c r="A78" s="22">
        <v>1</v>
      </c>
      <c r="B78" s="37" t="s">
        <v>138</v>
      </c>
      <c r="C78" s="38" t="s">
        <v>139</v>
      </c>
      <c r="D78" s="37" t="s">
        <v>140</v>
      </c>
      <c r="E78" s="152">
        <v>838.75</v>
      </c>
      <c r="F78" s="152">
        <f t="shared" si="30"/>
        <v>671</v>
      </c>
      <c r="G78" s="152">
        <v>671</v>
      </c>
      <c r="H78" s="154"/>
      <c r="I78" s="39"/>
      <c r="J78" s="39">
        <v>83.875</v>
      </c>
      <c r="K78" s="46">
        <v>83.875</v>
      </c>
      <c r="L78" s="37" t="s">
        <v>140</v>
      </c>
      <c r="M78" s="7">
        <f t="shared" si="16"/>
        <v>100</v>
      </c>
      <c r="N78" s="10">
        <f t="shared" si="29"/>
        <v>80</v>
      </c>
      <c r="O78" s="10">
        <f t="shared" si="29"/>
        <v>0</v>
      </c>
      <c r="P78" s="10">
        <f t="shared" si="29"/>
        <v>0</v>
      </c>
      <c r="Q78" s="10">
        <f t="shared" si="29"/>
        <v>10</v>
      </c>
      <c r="R78" s="10">
        <f t="shared" si="29"/>
        <v>10</v>
      </c>
    </row>
    <row r="79" spans="1:18" ht="45" outlineLevel="1" x14ac:dyDescent="0.25">
      <c r="A79" s="22">
        <v>2</v>
      </c>
      <c r="B79" s="37" t="s">
        <v>141</v>
      </c>
      <c r="C79" s="38" t="s">
        <v>139</v>
      </c>
      <c r="D79" s="37"/>
      <c r="E79" s="152">
        <v>2193</v>
      </c>
      <c r="F79" s="152">
        <f t="shared" si="30"/>
        <v>1316</v>
      </c>
      <c r="G79" s="152">
        <v>1316</v>
      </c>
      <c r="H79" s="154"/>
      <c r="I79" s="39"/>
      <c r="J79" s="39">
        <v>658</v>
      </c>
      <c r="K79" s="46">
        <v>219</v>
      </c>
      <c r="L79" s="37"/>
      <c r="M79" s="7">
        <f t="shared" si="16"/>
        <v>100</v>
      </c>
      <c r="N79" s="10">
        <f t="shared" si="29"/>
        <v>60.009119927040587</v>
      </c>
      <c r="O79" s="10">
        <f t="shared" si="29"/>
        <v>0</v>
      </c>
      <c r="P79" s="10">
        <f t="shared" si="29"/>
        <v>0</v>
      </c>
      <c r="Q79" s="10">
        <f t="shared" si="29"/>
        <v>30.004559963520293</v>
      </c>
      <c r="R79" s="10">
        <f t="shared" si="29"/>
        <v>9.9863201094391236</v>
      </c>
    </row>
    <row r="80" spans="1:18" ht="30" outlineLevel="1" x14ac:dyDescent="0.25">
      <c r="A80" s="22">
        <v>3</v>
      </c>
      <c r="B80" s="37" t="s">
        <v>142</v>
      </c>
      <c r="C80" s="38" t="s">
        <v>139</v>
      </c>
      <c r="D80" s="37"/>
      <c r="E80" s="152">
        <v>500</v>
      </c>
      <c r="F80" s="152">
        <f t="shared" si="30"/>
        <v>300</v>
      </c>
      <c r="G80" s="152">
        <v>300</v>
      </c>
      <c r="H80" s="154"/>
      <c r="I80" s="39"/>
      <c r="J80" s="39">
        <v>150</v>
      </c>
      <c r="K80" s="46">
        <v>50</v>
      </c>
      <c r="L80" s="37"/>
      <c r="M80" s="7">
        <f t="shared" si="16"/>
        <v>100</v>
      </c>
      <c r="N80" s="10">
        <f t="shared" si="29"/>
        <v>60</v>
      </c>
      <c r="O80" s="10">
        <f t="shared" si="29"/>
        <v>0</v>
      </c>
      <c r="P80" s="10">
        <f t="shared" si="29"/>
        <v>0</v>
      </c>
      <c r="Q80" s="10">
        <f t="shared" si="29"/>
        <v>30</v>
      </c>
      <c r="R80" s="10">
        <f t="shared" si="29"/>
        <v>10</v>
      </c>
    </row>
    <row r="81" spans="2:25" outlineLevel="1" x14ac:dyDescent="0.25"/>
    <row r="82" spans="2:25" s="23" customFormat="1" x14ac:dyDescent="0.25">
      <c r="B82" s="90"/>
      <c r="D82" s="1"/>
      <c r="E82" s="24"/>
      <c r="F82" s="24"/>
      <c r="G82" s="24"/>
      <c r="H82" s="24"/>
      <c r="I82" s="24"/>
      <c r="J82" s="24"/>
      <c r="K82" s="24"/>
      <c r="L82" s="1"/>
      <c r="M82" s="1"/>
      <c r="N82" s="1"/>
      <c r="O82" s="1"/>
      <c r="P82" s="1"/>
      <c r="Q82" s="1"/>
      <c r="R82" s="1"/>
      <c r="S82" s="1"/>
      <c r="T82" s="1"/>
      <c r="U82" s="1"/>
      <c r="V82" s="1"/>
      <c r="W82" s="1"/>
      <c r="X82" s="1"/>
      <c r="Y82" s="1"/>
    </row>
  </sheetData>
  <mergeCells count="15">
    <mergeCell ref="B7:D7"/>
    <mergeCell ref="B8:D8"/>
    <mergeCell ref="B9:D9"/>
    <mergeCell ref="B16:D16"/>
    <mergeCell ref="B23:D23"/>
    <mergeCell ref="A3:L3"/>
    <mergeCell ref="A2:L2"/>
    <mergeCell ref="H4:L4"/>
    <mergeCell ref="A5:A6"/>
    <mergeCell ref="B5:B6"/>
    <mergeCell ref="C5:C6"/>
    <mergeCell ref="D5:D6"/>
    <mergeCell ref="E5:E6"/>
    <mergeCell ref="F5:K5"/>
    <mergeCell ref="L5:L6"/>
  </mergeCells>
  <pageMargins left="0.51181102362204722" right="0.4" top="0.42" bottom="0.46" header="0.42" footer="0.45"/>
  <pageSetup paperSize="9" scale="85"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80"/>
  <sheetViews>
    <sheetView zoomScale="85" zoomScaleNormal="85" workbookViewId="0">
      <pane xSplit="4" ySplit="5" topLeftCell="E6" activePane="bottomRight" state="frozen"/>
      <selection pane="topRight" activeCell="E1" sqref="E1"/>
      <selection pane="bottomLeft" activeCell="A6" sqref="A6"/>
      <selection pane="bottomRight" activeCell="A3" sqref="A3"/>
    </sheetView>
  </sheetViews>
  <sheetFormatPr defaultRowHeight="15" outlineLevelRow="1" x14ac:dyDescent="0.25"/>
  <cols>
    <col min="1" max="1" width="7.28515625" style="23" customWidth="1"/>
    <col min="2" max="2" width="32.85546875" style="90" customWidth="1"/>
    <col min="3" max="3" width="7.7109375" style="1" customWidth="1"/>
    <col min="4" max="4" width="55.140625" style="1" hidden="1" customWidth="1"/>
    <col min="5" max="5" width="14.7109375" style="99" customWidth="1"/>
    <col min="6" max="6" width="14.7109375" style="47" customWidth="1"/>
    <col min="7" max="7" width="13.42578125" style="47" customWidth="1"/>
    <col min="8" max="8" width="9.7109375" style="47" customWidth="1"/>
    <col min="9" max="9" width="7.5703125" style="24" hidden="1" customWidth="1"/>
    <col min="10" max="10" width="8.85546875" style="24" hidden="1" customWidth="1"/>
    <col min="11" max="11" width="9" style="24" hidden="1" customWidth="1"/>
    <col min="12" max="12" width="59.85546875" style="1" customWidth="1"/>
    <col min="13" max="13" width="8.5703125" style="1" hidden="1" customWidth="1"/>
    <col min="14" max="19" width="0" style="1" hidden="1" customWidth="1"/>
    <col min="20" max="20" width="20.140625" style="1" customWidth="1"/>
    <col min="21" max="21" width="9.5703125" style="1" bestFit="1" customWidth="1"/>
    <col min="22" max="22" width="10.42578125" style="1" bestFit="1" customWidth="1"/>
    <col min="23" max="23" width="10.5703125" style="1" bestFit="1" customWidth="1"/>
    <col min="24" max="24" width="9.7109375" style="1" bestFit="1" customWidth="1"/>
    <col min="25" max="16384" width="9.140625" style="1"/>
  </cols>
  <sheetData>
    <row r="2" spans="1:25" s="14" customFormat="1" ht="26.25" customHeight="1" x14ac:dyDescent="0.25">
      <c r="A2" s="177" t="s">
        <v>162</v>
      </c>
      <c r="B2" s="177"/>
      <c r="C2" s="177"/>
      <c r="D2" s="177"/>
      <c r="E2" s="177"/>
      <c r="F2" s="177"/>
      <c r="G2" s="177"/>
      <c r="H2" s="177"/>
      <c r="I2" s="177"/>
      <c r="J2" s="177"/>
      <c r="K2" s="177"/>
      <c r="L2" s="177"/>
    </row>
    <row r="3" spans="1:25" ht="33" customHeight="1" x14ac:dyDescent="0.25">
      <c r="H3" s="176" t="s">
        <v>1</v>
      </c>
      <c r="I3" s="176"/>
      <c r="J3" s="176"/>
      <c r="K3" s="176"/>
      <c r="L3" s="176"/>
    </row>
    <row r="4" spans="1:25" x14ac:dyDescent="0.25">
      <c r="A4" s="178" t="s">
        <v>2</v>
      </c>
      <c r="B4" s="178" t="s">
        <v>3</v>
      </c>
      <c r="C4" s="178" t="s">
        <v>4</v>
      </c>
      <c r="D4" s="178" t="s">
        <v>5</v>
      </c>
      <c r="E4" s="195" t="s">
        <v>6</v>
      </c>
      <c r="F4" s="174" t="s">
        <v>48</v>
      </c>
      <c r="G4" s="175"/>
      <c r="H4" s="175"/>
      <c r="I4" s="175"/>
      <c r="J4" s="175"/>
      <c r="K4" s="179"/>
      <c r="L4" s="178" t="s">
        <v>8</v>
      </c>
    </row>
    <row r="5" spans="1:25" ht="71.25" x14ac:dyDescent="0.25">
      <c r="A5" s="178"/>
      <c r="B5" s="178"/>
      <c r="C5" s="178"/>
      <c r="D5" s="178"/>
      <c r="E5" s="195"/>
      <c r="F5" s="48" t="s">
        <v>9</v>
      </c>
      <c r="G5" s="48" t="s">
        <v>10</v>
      </c>
      <c r="H5" s="48" t="s">
        <v>11</v>
      </c>
      <c r="I5" s="2" t="s">
        <v>12</v>
      </c>
      <c r="J5" s="2" t="s">
        <v>13</v>
      </c>
      <c r="K5" s="2" t="s">
        <v>14</v>
      </c>
      <c r="L5" s="178"/>
    </row>
    <row r="6" spans="1:25" ht="42" customHeight="1" x14ac:dyDescent="0.25">
      <c r="A6" s="2"/>
      <c r="B6" s="171" t="s">
        <v>49</v>
      </c>
      <c r="C6" s="172"/>
      <c r="D6" s="173"/>
      <c r="E6" s="83">
        <f t="shared" ref="E6:K6" si="0">+E7+E22</f>
        <v>28787.838960666668</v>
      </c>
      <c r="F6" s="48">
        <f>+G6+H6</f>
        <v>21839</v>
      </c>
      <c r="G6" s="48">
        <f t="shared" si="0"/>
        <v>21086</v>
      </c>
      <c r="H6" s="48">
        <f t="shared" si="0"/>
        <v>753</v>
      </c>
      <c r="I6" s="2">
        <f t="shared" si="0"/>
        <v>0</v>
      </c>
      <c r="J6" s="2">
        <f t="shared" si="0"/>
        <v>4490.1445939999994</v>
      </c>
      <c r="K6" s="2">
        <f t="shared" si="0"/>
        <v>2466.149477777778</v>
      </c>
      <c r="L6" s="3" t="s">
        <v>16</v>
      </c>
      <c r="V6" s="25">
        <f>+G6-'[2]21-25'!D6</f>
        <v>0</v>
      </c>
      <c r="W6" s="4">
        <f>+H6-'[2]21-25'!G6</f>
        <v>0</v>
      </c>
    </row>
    <row r="7" spans="1:25" ht="48" customHeight="1" x14ac:dyDescent="0.25">
      <c r="A7" s="2" t="s">
        <v>17</v>
      </c>
      <c r="B7" s="171" t="s">
        <v>18</v>
      </c>
      <c r="C7" s="172"/>
      <c r="D7" s="173"/>
      <c r="E7" s="83">
        <f>+E8+E15</f>
        <v>3543</v>
      </c>
      <c r="F7" s="48">
        <f t="shared" ref="F7:F70" si="1">+G7+H7</f>
        <v>3543</v>
      </c>
      <c r="G7" s="48">
        <f t="shared" ref="G7" si="2">+G8+G15</f>
        <v>2790</v>
      </c>
      <c r="H7" s="48">
        <f>+H8+H15</f>
        <v>753</v>
      </c>
      <c r="I7" s="2">
        <f>+I8+I15</f>
        <v>0</v>
      </c>
      <c r="J7" s="2">
        <f t="shared" ref="J7:K7" si="3">+J8+J15</f>
        <v>0</v>
      </c>
      <c r="K7" s="2">
        <f t="shared" si="3"/>
        <v>0</v>
      </c>
      <c r="L7" s="5"/>
    </row>
    <row r="8" spans="1:25" s="6" customFormat="1" ht="34.5" customHeight="1" x14ac:dyDescent="0.25">
      <c r="A8" s="2" t="s">
        <v>19</v>
      </c>
      <c r="B8" s="171" t="s">
        <v>20</v>
      </c>
      <c r="C8" s="172"/>
      <c r="D8" s="173"/>
      <c r="E8" s="83">
        <f>+SUM(E9:E14)</f>
        <v>2103</v>
      </c>
      <c r="F8" s="48">
        <f t="shared" si="1"/>
        <v>2103</v>
      </c>
      <c r="G8" s="60">
        <f>+SUM(G9:G14)</f>
        <v>1805</v>
      </c>
      <c r="H8" s="48">
        <f>+SUM(H9:H14)</f>
        <v>298</v>
      </c>
      <c r="I8" s="2"/>
      <c r="J8" s="2"/>
      <c r="K8" s="2"/>
      <c r="L8" s="2" t="s">
        <v>160</v>
      </c>
      <c r="U8" s="7">
        <f>SUM(H9:H14)-H8</f>
        <v>0</v>
      </c>
      <c r="V8" s="7"/>
      <c r="Y8" s="7">
        <f>H8-X8</f>
        <v>298</v>
      </c>
    </row>
    <row r="9" spans="1:25" ht="30" x14ac:dyDescent="0.25">
      <c r="A9" s="8">
        <v>1</v>
      </c>
      <c r="B9" s="91" t="s">
        <v>22</v>
      </c>
      <c r="C9" s="8"/>
      <c r="D9" s="8" t="s">
        <v>146</v>
      </c>
      <c r="E9" s="83">
        <f t="shared" ref="E9:E13" si="4">+SUM(G9:K9)</f>
        <v>734.5</v>
      </c>
      <c r="F9" s="49">
        <f t="shared" si="1"/>
        <v>734.5</v>
      </c>
      <c r="G9" s="49">
        <f>'Mẫu 2022'!G9+'Mẫu 2022'!G10+5*40+(3*40)+2</f>
        <v>638.5</v>
      </c>
      <c r="H9" s="49">
        <f>16+80</f>
        <v>96</v>
      </c>
      <c r="I9" s="8"/>
      <c r="J9" s="8"/>
      <c r="K9" s="8"/>
      <c r="L9" s="8" t="s">
        <v>146</v>
      </c>
      <c r="U9" s="25">
        <f>SUM(H9:H14)-H8</f>
        <v>0</v>
      </c>
      <c r="V9" s="26"/>
    </row>
    <row r="10" spans="1:25" s="45" customFormat="1" x14ac:dyDescent="0.25">
      <c r="A10" s="42">
        <v>2</v>
      </c>
      <c r="B10" s="27" t="s">
        <v>24</v>
      </c>
      <c r="C10" s="42"/>
      <c r="D10" s="42" t="s">
        <v>145</v>
      </c>
      <c r="E10" s="80">
        <f t="shared" si="4"/>
        <v>448.5</v>
      </c>
      <c r="F10" s="62">
        <f>G10+H10</f>
        <v>448.5</v>
      </c>
      <c r="G10" s="62">
        <v>246.5</v>
      </c>
      <c r="H10" s="62">
        <v>202</v>
      </c>
      <c r="I10" s="42"/>
      <c r="J10" s="42"/>
      <c r="K10" s="42"/>
      <c r="L10" s="42" t="s">
        <v>145</v>
      </c>
      <c r="V10" s="63"/>
      <c r="W10" s="64"/>
      <c r="X10" s="64"/>
    </row>
    <row r="11" spans="1:25" x14ac:dyDescent="0.25">
      <c r="A11" s="8">
        <v>3</v>
      </c>
      <c r="B11" s="91" t="s">
        <v>28</v>
      </c>
      <c r="C11" s="8"/>
      <c r="D11" s="42" t="s">
        <v>50</v>
      </c>
      <c r="E11" s="83">
        <f>+SUM(G11:K11)</f>
        <v>40</v>
      </c>
      <c r="F11" s="49">
        <f t="shared" si="1"/>
        <v>40</v>
      </c>
      <c r="G11" s="49">
        <f>1*40</f>
        <v>40</v>
      </c>
      <c r="H11" s="49"/>
      <c r="I11" s="8"/>
      <c r="J11" s="8"/>
      <c r="K11" s="8"/>
      <c r="L11" s="42" t="s">
        <v>50</v>
      </c>
      <c r="V11" s="26">
        <f>SUM(H11:H14)</f>
        <v>0</v>
      </c>
      <c r="W11" s="1">
        <f>25*22.5</f>
        <v>562.5</v>
      </c>
      <c r="X11" s="1">
        <f>W11-403</f>
        <v>159.5</v>
      </c>
    </row>
    <row r="12" spans="1:25" x14ac:dyDescent="0.25">
      <c r="A12" s="8">
        <v>4</v>
      </c>
      <c r="B12" s="91" t="s">
        <v>47</v>
      </c>
      <c r="C12" s="8"/>
      <c r="D12" s="42" t="s">
        <v>51</v>
      </c>
      <c r="E12" s="83">
        <f t="shared" si="4"/>
        <v>320</v>
      </c>
      <c r="F12" s="49">
        <f t="shared" si="1"/>
        <v>320</v>
      </c>
      <c r="G12" s="49">
        <f>8*40</f>
        <v>320</v>
      </c>
      <c r="H12" s="49"/>
      <c r="I12" s="8"/>
      <c r="J12" s="8"/>
      <c r="K12" s="8"/>
      <c r="L12" s="42" t="s">
        <v>51</v>
      </c>
      <c r="V12" s="26"/>
    </row>
    <row r="13" spans="1:25" x14ac:dyDescent="0.25">
      <c r="A13" s="8">
        <v>5</v>
      </c>
      <c r="B13" s="91" t="s">
        <v>38</v>
      </c>
      <c r="C13" s="8"/>
      <c r="D13" s="42" t="s">
        <v>52</v>
      </c>
      <c r="E13" s="83">
        <f t="shared" si="4"/>
        <v>280</v>
      </c>
      <c r="F13" s="49">
        <f t="shared" si="1"/>
        <v>280</v>
      </c>
      <c r="G13" s="49">
        <f>7*40</f>
        <v>280</v>
      </c>
      <c r="H13" s="49"/>
      <c r="I13" s="8"/>
      <c r="J13" s="8"/>
      <c r="K13" s="8"/>
      <c r="L13" s="42" t="s">
        <v>52</v>
      </c>
      <c r="V13" s="26"/>
    </row>
    <row r="14" spans="1:25" x14ac:dyDescent="0.25">
      <c r="A14" s="8">
        <v>6</v>
      </c>
      <c r="B14" s="91" t="s">
        <v>53</v>
      </c>
      <c r="C14" s="8"/>
      <c r="D14" s="42" t="s">
        <v>52</v>
      </c>
      <c r="E14" s="83">
        <f t="shared" ref="E14" si="5">+SUM(G14:K14)</f>
        <v>280</v>
      </c>
      <c r="F14" s="49">
        <f t="shared" si="1"/>
        <v>280</v>
      </c>
      <c r="G14" s="49">
        <f>7*40</f>
        <v>280</v>
      </c>
      <c r="H14" s="49"/>
      <c r="I14" s="8"/>
      <c r="J14" s="8"/>
      <c r="K14" s="8"/>
      <c r="L14" s="42" t="s">
        <v>52</v>
      </c>
      <c r="V14" s="26"/>
    </row>
    <row r="15" spans="1:25" s="6" customFormat="1" ht="60.75" customHeight="1" x14ac:dyDescent="0.25">
      <c r="A15" s="2" t="s">
        <v>25</v>
      </c>
      <c r="B15" s="171" t="s">
        <v>26</v>
      </c>
      <c r="C15" s="172"/>
      <c r="D15" s="173"/>
      <c r="E15" s="83">
        <f>+SUM(E16:E21)</f>
        <v>1440</v>
      </c>
      <c r="F15" s="48">
        <f t="shared" si="1"/>
        <v>1440</v>
      </c>
      <c r="G15" s="48">
        <f>+SUM(G16:G21)</f>
        <v>985</v>
      </c>
      <c r="H15" s="48">
        <f>+SUM(H16:H21)</f>
        <v>455</v>
      </c>
      <c r="I15" s="2"/>
      <c r="J15" s="2"/>
      <c r="K15" s="2"/>
      <c r="L15" s="2" t="s">
        <v>27</v>
      </c>
    </row>
    <row r="16" spans="1:25" ht="30" x14ac:dyDescent="0.25">
      <c r="A16" s="8">
        <v>1</v>
      </c>
      <c r="B16" s="91" t="s">
        <v>28</v>
      </c>
      <c r="C16" s="8"/>
      <c r="D16" s="8" t="s">
        <v>29</v>
      </c>
      <c r="E16" s="83">
        <f t="shared" ref="E16:E21" si="6">+SUM(G16:K16)</f>
        <v>20</v>
      </c>
      <c r="F16" s="49">
        <f t="shared" si="1"/>
        <v>20</v>
      </c>
      <c r="G16" s="49"/>
      <c r="H16" s="49">
        <v>20</v>
      </c>
      <c r="I16" s="8"/>
      <c r="J16" s="8"/>
      <c r="K16" s="8"/>
      <c r="L16" s="8" t="s">
        <v>29</v>
      </c>
    </row>
    <row r="17" spans="1:18" ht="30" x14ac:dyDescent="0.25">
      <c r="A17" s="8">
        <v>2</v>
      </c>
      <c r="B17" s="91" t="s">
        <v>22</v>
      </c>
      <c r="C17" s="8"/>
      <c r="D17" s="8" t="s">
        <v>29</v>
      </c>
      <c r="E17" s="83">
        <f t="shared" si="6"/>
        <v>20</v>
      </c>
      <c r="F17" s="49">
        <f t="shared" si="1"/>
        <v>20</v>
      </c>
      <c r="G17" s="49"/>
      <c r="H17" s="49">
        <v>20</v>
      </c>
      <c r="I17" s="8"/>
      <c r="J17" s="8"/>
      <c r="K17" s="8"/>
      <c r="L17" s="8" t="s">
        <v>29</v>
      </c>
    </row>
    <row r="18" spans="1:18" ht="45" x14ac:dyDescent="0.25">
      <c r="A18" s="8">
        <v>3</v>
      </c>
      <c r="B18" s="91" t="s">
        <v>30</v>
      </c>
      <c r="C18" s="8"/>
      <c r="D18" s="8" t="s">
        <v>54</v>
      </c>
      <c r="E18" s="83">
        <f t="shared" si="6"/>
        <v>548</v>
      </c>
      <c r="F18" s="49">
        <f t="shared" si="1"/>
        <v>548</v>
      </c>
      <c r="G18" s="49">
        <f>374</f>
        <v>374</v>
      </c>
      <c r="H18" s="49">
        <f>105+69</f>
        <v>174</v>
      </c>
      <c r="I18" s="8"/>
      <c r="J18" s="8"/>
      <c r="K18" s="8"/>
      <c r="L18" s="8" t="s">
        <v>54</v>
      </c>
    </row>
    <row r="19" spans="1:18" x14ac:dyDescent="0.25">
      <c r="A19" s="8">
        <v>4</v>
      </c>
      <c r="B19" s="91" t="s">
        <v>53</v>
      </c>
      <c r="C19" s="8"/>
      <c r="D19" s="8" t="s">
        <v>55</v>
      </c>
      <c r="E19" s="83">
        <f t="shared" si="6"/>
        <v>714</v>
      </c>
      <c r="F19" s="49">
        <f t="shared" si="1"/>
        <v>714</v>
      </c>
      <c r="G19" s="49">
        <v>611</v>
      </c>
      <c r="H19" s="49">
        <v>103</v>
      </c>
      <c r="I19" s="8"/>
      <c r="J19" s="8"/>
      <c r="K19" s="8"/>
      <c r="L19" s="8" t="s">
        <v>55</v>
      </c>
    </row>
    <row r="20" spans="1:18" ht="30" x14ac:dyDescent="0.25">
      <c r="A20" s="8">
        <v>5</v>
      </c>
      <c r="B20" s="91" t="s">
        <v>47</v>
      </c>
      <c r="C20" s="8"/>
      <c r="D20" s="8" t="s">
        <v>56</v>
      </c>
      <c r="E20" s="83">
        <f t="shared" si="6"/>
        <v>69</v>
      </c>
      <c r="F20" s="49">
        <f t="shared" si="1"/>
        <v>69</v>
      </c>
      <c r="G20" s="49"/>
      <c r="H20" s="49">
        <v>69</v>
      </c>
      <c r="I20" s="8"/>
      <c r="J20" s="8"/>
      <c r="K20" s="8"/>
      <c r="L20" s="8" t="s">
        <v>56</v>
      </c>
    </row>
    <row r="21" spans="1:18" ht="30" x14ac:dyDescent="0.25">
      <c r="A21" s="8">
        <v>6</v>
      </c>
      <c r="B21" s="91" t="s">
        <v>38</v>
      </c>
      <c r="C21" s="8"/>
      <c r="D21" s="8" t="s">
        <v>56</v>
      </c>
      <c r="E21" s="83">
        <f t="shared" si="6"/>
        <v>69</v>
      </c>
      <c r="F21" s="49">
        <f t="shared" si="1"/>
        <v>69</v>
      </c>
      <c r="G21" s="49"/>
      <c r="H21" s="49">
        <v>69</v>
      </c>
      <c r="I21" s="8"/>
      <c r="J21" s="8"/>
      <c r="K21" s="8"/>
      <c r="L21" s="8" t="s">
        <v>56</v>
      </c>
    </row>
    <row r="22" spans="1:18" ht="35.25" customHeight="1" x14ac:dyDescent="0.25">
      <c r="A22" s="2" t="s">
        <v>32</v>
      </c>
      <c r="B22" s="171" t="s">
        <v>33</v>
      </c>
      <c r="C22" s="172"/>
      <c r="D22" s="173"/>
      <c r="E22" s="83">
        <f t="shared" ref="E22:K22" si="7">+E23+E28+E34+E39+E46+E51+E61+E76</f>
        <v>25244.838960666668</v>
      </c>
      <c r="F22" s="48">
        <f t="shared" si="1"/>
        <v>18296</v>
      </c>
      <c r="G22" s="48">
        <f t="shared" si="7"/>
        <v>18296</v>
      </c>
      <c r="H22" s="48">
        <f t="shared" si="7"/>
        <v>0</v>
      </c>
      <c r="I22" s="2">
        <f t="shared" si="7"/>
        <v>0</v>
      </c>
      <c r="J22" s="2">
        <f t="shared" si="7"/>
        <v>4490.1445939999994</v>
      </c>
      <c r="K22" s="2">
        <f t="shared" si="7"/>
        <v>2466.149477777778</v>
      </c>
      <c r="L22" s="2" t="s">
        <v>34</v>
      </c>
      <c r="M22" s="7">
        <f t="shared" ref="M22:M33" si="8">+N22+O22+P22+Q22+R22</f>
        <v>100.02953122863143</v>
      </c>
      <c r="N22" s="10">
        <f t="shared" ref="N22:R37" si="9">+G22/$E22*100</f>
        <v>72.474219496929749</v>
      </c>
      <c r="O22" s="10">
        <f t="shared" si="9"/>
        <v>0</v>
      </c>
      <c r="P22" s="10">
        <f t="shared" si="9"/>
        <v>0</v>
      </c>
      <c r="Q22" s="10">
        <f t="shared" si="9"/>
        <v>17.786386361964826</v>
      </c>
      <c r="R22" s="10">
        <f t="shared" si="9"/>
        <v>9.7689253697368468</v>
      </c>
    </row>
    <row r="23" spans="1:18" x14ac:dyDescent="0.25">
      <c r="A23" s="17" t="s">
        <v>19</v>
      </c>
      <c r="B23" s="92" t="s">
        <v>30</v>
      </c>
      <c r="C23" s="12"/>
      <c r="D23" s="12"/>
      <c r="E23" s="50">
        <f>+SUM(E24:E27)</f>
        <v>2795.2222222222217</v>
      </c>
      <c r="F23" s="48">
        <f t="shared" si="1"/>
        <v>2287</v>
      </c>
      <c r="G23" s="50">
        <f t="shared" ref="G23:K23" si="10">+SUM(G24:G27)</f>
        <v>2287</v>
      </c>
      <c r="H23" s="50">
        <f t="shared" si="10"/>
        <v>0</v>
      </c>
      <c r="I23" s="12">
        <f t="shared" si="10"/>
        <v>0</v>
      </c>
      <c r="J23" s="12">
        <f t="shared" si="10"/>
        <v>228.7</v>
      </c>
      <c r="K23" s="12">
        <f t="shared" si="10"/>
        <v>279.52222222222224</v>
      </c>
      <c r="L23" s="11"/>
      <c r="M23" s="7">
        <f t="shared" si="8"/>
        <v>100.00000000000003</v>
      </c>
      <c r="N23" s="10">
        <f t="shared" si="9"/>
        <v>81.818181818181841</v>
      </c>
      <c r="O23" s="10">
        <f t="shared" si="9"/>
        <v>0</v>
      </c>
      <c r="P23" s="10">
        <f t="shared" si="9"/>
        <v>0</v>
      </c>
      <c r="Q23" s="10">
        <f t="shared" si="9"/>
        <v>8.1818181818181834</v>
      </c>
      <c r="R23" s="10">
        <f t="shared" si="9"/>
        <v>10.000000000000002</v>
      </c>
    </row>
    <row r="24" spans="1:18" s="14" customFormat="1" ht="90" outlineLevel="1" x14ac:dyDescent="0.25">
      <c r="A24" s="13">
        <v>1</v>
      </c>
      <c r="B24" s="29" t="s">
        <v>147</v>
      </c>
      <c r="C24" s="8" t="s">
        <v>57</v>
      </c>
      <c r="D24" s="27" t="s">
        <v>58</v>
      </c>
      <c r="E24" s="100">
        <f>+SUM(G24:K24)</f>
        <v>820.11111111111109</v>
      </c>
      <c r="F24" s="49">
        <f t="shared" si="1"/>
        <v>671</v>
      </c>
      <c r="G24" s="54">
        <v>671</v>
      </c>
      <c r="H24" s="54">
        <v>0</v>
      </c>
      <c r="I24" s="28">
        <v>0</v>
      </c>
      <c r="J24" s="28">
        <v>67.099999999999994</v>
      </c>
      <c r="K24" s="28">
        <f>+(G24+J24)/0.9*0.1</f>
        <v>82.01111111111112</v>
      </c>
      <c r="L24" s="27" t="s">
        <v>58</v>
      </c>
      <c r="M24" s="7">
        <f t="shared" si="8"/>
        <v>100.00000000000001</v>
      </c>
      <c r="N24" s="10">
        <f t="shared" si="9"/>
        <v>81.818181818181827</v>
      </c>
      <c r="O24" s="10">
        <f t="shared" si="9"/>
        <v>0</v>
      </c>
      <c r="P24" s="10">
        <f t="shared" si="9"/>
        <v>0</v>
      </c>
      <c r="Q24" s="10">
        <f t="shared" si="9"/>
        <v>8.1818181818181817</v>
      </c>
      <c r="R24" s="10">
        <f t="shared" si="9"/>
        <v>10.000000000000002</v>
      </c>
    </row>
    <row r="25" spans="1:18" s="14" customFormat="1" ht="75" outlineLevel="1" x14ac:dyDescent="0.25">
      <c r="A25" s="13">
        <f>+A24+1</f>
        <v>2</v>
      </c>
      <c r="B25" s="29" t="s">
        <v>148</v>
      </c>
      <c r="C25" s="8" t="s">
        <v>57</v>
      </c>
      <c r="D25" s="27" t="s">
        <v>59</v>
      </c>
      <c r="E25" s="100">
        <f t="shared" ref="E25:E27" si="11">+SUM(G25:K25)</f>
        <v>569.55555555555554</v>
      </c>
      <c r="F25" s="49">
        <f t="shared" si="1"/>
        <v>466</v>
      </c>
      <c r="G25" s="54">
        <v>466</v>
      </c>
      <c r="H25" s="54">
        <v>0</v>
      </c>
      <c r="I25" s="28">
        <v>0</v>
      </c>
      <c r="J25" s="28">
        <v>46.6</v>
      </c>
      <c r="K25" s="28">
        <f t="shared" ref="K25:K27" si="12">+(G25+J25)/0.9*0.1</f>
        <v>56.955555555555556</v>
      </c>
      <c r="L25" s="27" t="s">
        <v>59</v>
      </c>
      <c r="M25" s="7">
        <f t="shared" si="8"/>
        <v>100.00000000000001</v>
      </c>
      <c r="N25" s="10">
        <f t="shared" si="9"/>
        <v>81.818181818181827</v>
      </c>
      <c r="O25" s="10">
        <f t="shared" si="9"/>
        <v>0</v>
      </c>
      <c r="P25" s="10">
        <f t="shared" si="9"/>
        <v>0</v>
      </c>
      <c r="Q25" s="10">
        <f t="shared" si="9"/>
        <v>8.1818181818181817</v>
      </c>
      <c r="R25" s="10">
        <f t="shared" si="9"/>
        <v>10</v>
      </c>
    </row>
    <row r="26" spans="1:18" s="14" customFormat="1" ht="60" outlineLevel="1" x14ac:dyDescent="0.25">
      <c r="A26" s="13">
        <f t="shared" ref="A26:A27" si="13">+A25+1</f>
        <v>3</v>
      </c>
      <c r="B26" s="29" t="s">
        <v>149</v>
      </c>
      <c r="C26" s="8" t="s">
        <v>57</v>
      </c>
      <c r="D26" s="29" t="s">
        <v>60</v>
      </c>
      <c r="E26" s="100">
        <f t="shared" si="11"/>
        <v>574.44444444444446</v>
      </c>
      <c r="F26" s="49">
        <f t="shared" si="1"/>
        <v>470</v>
      </c>
      <c r="G26" s="54">
        <v>470</v>
      </c>
      <c r="H26" s="54">
        <v>0</v>
      </c>
      <c r="I26" s="28">
        <v>0</v>
      </c>
      <c r="J26" s="28">
        <v>47</v>
      </c>
      <c r="K26" s="28">
        <f t="shared" si="12"/>
        <v>57.44444444444445</v>
      </c>
      <c r="L26" s="29" t="s">
        <v>60</v>
      </c>
      <c r="M26" s="7">
        <f t="shared" si="8"/>
        <v>100</v>
      </c>
      <c r="N26" s="10">
        <f t="shared" si="9"/>
        <v>81.818181818181813</v>
      </c>
      <c r="O26" s="10">
        <f t="shared" si="9"/>
        <v>0</v>
      </c>
      <c r="P26" s="10">
        <f t="shared" si="9"/>
        <v>0</v>
      </c>
      <c r="Q26" s="10">
        <f t="shared" si="9"/>
        <v>8.1818181818181817</v>
      </c>
      <c r="R26" s="10">
        <f t="shared" si="9"/>
        <v>10</v>
      </c>
    </row>
    <row r="27" spans="1:18" s="14" customFormat="1" ht="75" outlineLevel="1" x14ac:dyDescent="0.25">
      <c r="A27" s="13">
        <f t="shared" si="13"/>
        <v>4</v>
      </c>
      <c r="B27" s="29" t="s">
        <v>150</v>
      </c>
      <c r="C27" s="8" t="s">
        <v>57</v>
      </c>
      <c r="D27" s="8" t="s">
        <v>61</v>
      </c>
      <c r="E27" s="100">
        <f t="shared" si="11"/>
        <v>831.11111111111109</v>
      </c>
      <c r="F27" s="49">
        <f t="shared" si="1"/>
        <v>680</v>
      </c>
      <c r="G27" s="54">
        <v>680</v>
      </c>
      <c r="H27" s="54">
        <v>0</v>
      </c>
      <c r="I27" s="28">
        <v>0</v>
      </c>
      <c r="J27" s="28">
        <v>68</v>
      </c>
      <c r="K27" s="28">
        <f t="shared" si="12"/>
        <v>83.111111111111114</v>
      </c>
      <c r="L27" s="29" t="s">
        <v>61</v>
      </c>
      <c r="M27" s="7">
        <f t="shared" si="8"/>
        <v>100.00000000000001</v>
      </c>
      <c r="N27" s="10">
        <f t="shared" si="9"/>
        <v>81.818181818181827</v>
      </c>
      <c r="O27" s="10">
        <f t="shared" si="9"/>
        <v>0</v>
      </c>
      <c r="P27" s="10">
        <f t="shared" si="9"/>
        <v>0</v>
      </c>
      <c r="Q27" s="10">
        <f t="shared" si="9"/>
        <v>8.1818181818181817</v>
      </c>
      <c r="R27" s="10">
        <f t="shared" si="9"/>
        <v>10</v>
      </c>
    </row>
    <row r="28" spans="1:18" s="32" customFormat="1" x14ac:dyDescent="0.25">
      <c r="A28" s="30" t="s">
        <v>25</v>
      </c>
      <c r="B28" s="87" t="s">
        <v>28</v>
      </c>
      <c r="C28" s="31"/>
      <c r="D28" s="31"/>
      <c r="E28" s="50">
        <f>+SUM(E29:E33)</f>
        <v>2795.2222222222222</v>
      </c>
      <c r="F28" s="48">
        <f t="shared" si="1"/>
        <v>2287</v>
      </c>
      <c r="G28" s="50">
        <f>+SUM(G29:G33)</f>
        <v>2287</v>
      </c>
      <c r="H28" s="50">
        <f t="shared" ref="H28:K28" si="14">+SUM(H29:H33)</f>
        <v>0</v>
      </c>
      <c r="I28" s="12">
        <f t="shared" si="14"/>
        <v>0</v>
      </c>
      <c r="J28" s="12">
        <f t="shared" si="14"/>
        <v>228.70000000000002</v>
      </c>
      <c r="K28" s="12">
        <f t="shared" si="14"/>
        <v>279.52222222222224</v>
      </c>
      <c r="L28" s="31"/>
      <c r="M28" s="7">
        <f t="shared" si="8"/>
        <v>100.00000000000001</v>
      </c>
      <c r="N28" s="10">
        <f t="shared" si="9"/>
        <v>81.818181818181827</v>
      </c>
      <c r="O28" s="10">
        <f t="shared" si="9"/>
        <v>0</v>
      </c>
      <c r="P28" s="10">
        <f t="shared" si="9"/>
        <v>0</v>
      </c>
      <c r="Q28" s="10">
        <f t="shared" si="9"/>
        <v>8.1818181818181834</v>
      </c>
      <c r="R28" s="10">
        <f t="shared" si="9"/>
        <v>10</v>
      </c>
    </row>
    <row r="29" spans="1:18" s="32" customFormat="1" ht="90" x14ac:dyDescent="0.25">
      <c r="A29" s="13">
        <v>1</v>
      </c>
      <c r="B29" s="93" t="s">
        <v>155</v>
      </c>
      <c r="C29" s="33" t="s">
        <v>62</v>
      </c>
      <c r="D29" s="34" t="s">
        <v>63</v>
      </c>
      <c r="E29" s="55">
        <v>820.11111111111109</v>
      </c>
      <c r="F29" s="49">
        <f t="shared" si="1"/>
        <v>671</v>
      </c>
      <c r="G29" s="56">
        <v>671</v>
      </c>
      <c r="H29" s="56"/>
      <c r="I29" s="35"/>
      <c r="J29" s="35">
        <v>67.099999999999994</v>
      </c>
      <c r="K29" s="35">
        <v>82.01111111111112</v>
      </c>
      <c r="L29" s="34" t="s">
        <v>63</v>
      </c>
      <c r="M29" s="7">
        <f t="shared" si="8"/>
        <v>100.00000000000001</v>
      </c>
      <c r="N29" s="10">
        <f t="shared" si="9"/>
        <v>81.818181818181827</v>
      </c>
      <c r="O29" s="10">
        <f t="shared" si="9"/>
        <v>0</v>
      </c>
      <c r="P29" s="10">
        <f t="shared" si="9"/>
        <v>0</v>
      </c>
      <c r="Q29" s="10">
        <f t="shared" si="9"/>
        <v>8.1818181818181817</v>
      </c>
      <c r="R29" s="10">
        <f t="shared" si="9"/>
        <v>10.000000000000002</v>
      </c>
    </row>
    <row r="30" spans="1:18" s="32" customFormat="1" ht="45" x14ac:dyDescent="0.25">
      <c r="A30" s="13">
        <v>2</v>
      </c>
      <c r="B30" s="93" t="s">
        <v>152</v>
      </c>
      <c r="C30" s="33" t="s">
        <v>62</v>
      </c>
      <c r="D30" s="34" t="s">
        <v>64</v>
      </c>
      <c r="E30" s="55">
        <v>534.11111111111109</v>
      </c>
      <c r="F30" s="49">
        <f t="shared" si="1"/>
        <v>437</v>
      </c>
      <c r="G30" s="56">
        <v>437</v>
      </c>
      <c r="H30" s="56"/>
      <c r="I30" s="35"/>
      <c r="J30" s="35">
        <v>43.7</v>
      </c>
      <c r="K30" s="35">
        <v>53.411111111111119</v>
      </c>
      <c r="L30" s="34" t="s">
        <v>64</v>
      </c>
      <c r="M30" s="7">
        <f t="shared" si="8"/>
        <v>100.00000000000001</v>
      </c>
      <c r="N30" s="10">
        <f t="shared" si="9"/>
        <v>81.818181818181827</v>
      </c>
      <c r="O30" s="10">
        <f t="shared" si="9"/>
        <v>0</v>
      </c>
      <c r="P30" s="10">
        <f t="shared" si="9"/>
        <v>0</v>
      </c>
      <c r="Q30" s="10">
        <f t="shared" si="9"/>
        <v>8.1818181818181834</v>
      </c>
      <c r="R30" s="10">
        <f t="shared" si="9"/>
        <v>10.000000000000002</v>
      </c>
    </row>
    <row r="31" spans="1:18" s="32" customFormat="1" ht="45" x14ac:dyDescent="0.25">
      <c r="A31" s="13">
        <v>3</v>
      </c>
      <c r="B31" s="94" t="s">
        <v>151</v>
      </c>
      <c r="C31" s="33" t="s">
        <v>62</v>
      </c>
      <c r="D31" s="34" t="s">
        <v>65</v>
      </c>
      <c r="E31" s="55">
        <v>342.22222222222223</v>
      </c>
      <c r="F31" s="49">
        <f t="shared" si="1"/>
        <v>280</v>
      </c>
      <c r="G31" s="56">
        <v>280</v>
      </c>
      <c r="H31" s="56"/>
      <c r="I31" s="35"/>
      <c r="J31" s="35">
        <v>28</v>
      </c>
      <c r="K31" s="35">
        <v>34.222222222222221</v>
      </c>
      <c r="L31" s="34" t="s">
        <v>65</v>
      </c>
      <c r="M31" s="7">
        <f t="shared" si="8"/>
        <v>100</v>
      </c>
      <c r="N31" s="10">
        <f t="shared" si="9"/>
        <v>81.818181818181813</v>
      </c>
      <c r="O31" s="10">
        <f t="shared" si="9"/>
        <v>0</v>
      </c>
      <c r="P31" s="10">
        <f t="shared" si="9"/>
        <v>0</v>
      </c>
      <c r="Q31" s="10">
        <f t="shared" si="9"/>
        <v>8.1818181818181817</v>
      </c>
      <c r="R31" s="10">
        <f t="shared" si="9"/>
        <v>10</v>
      </c>
    </row>
    <row r="32" spans="1:18" s="32" customFormat="1" ht="45" x14ac:dyDescent="0.25">
      <c r="A32" s="13">
        <v>4</v>
      </c>
      <c r="B32" s="93" t="s">
        <v>153</v>
      </c>
      <c r="C32" s="33" t="s">
        <v>62</v>
      </c>
      <c r="D32" s="34" t="s">
        <v>66</v>
      </c>
      <c r="E32" s="55">
        <v>342.22222222222223</v>
      </c>
      <c r="F32" s="49">
        <f t="shared" si="1"/>
        <v>280</v>
      </c>
      <c r="G32" s="56">
        <v>280</v>
      </c>
      <c r="H32" s="56"/>
      <c r="I32" s="35"/>
      <c r="J32" s="35">
        <v>28</v>
      </c>
      <c r="K32" s="35">
        <v>34.222222222222221</v>
      </c>
      <c r="L32" s="34" t="s">
        <v>66</v>
      </c>
      <c r="M32" s="7">
        <f t="shared" si="8"/>
        <v>100</v>
      </c>
      <c r="N32" s="10">
        <f t="shared" si="9"/>
        <v>81.818181818181813</v>
      </c>
      <c r="O32" s="10">
        <f t="shared" si="9"/>
        <v>0</v>
      </c>
      <c r="P32" s="10">
        <f t="shared" si="9"/>
        <v>0</v>
      </c>
      <c r="Q32" s="10">
        <f t="shared" si="9"/>
        <v>8.1818181818181817</v>
      </c>
      <c r="R32" s="10">
        <f t="shared" si="9"/>
        <v>10</v>
      </c>
    </row>
    <row r="33" spans="1:18" s="32" customFormat="1" ht="45" x14ac:dyDescent="0.25">
      <c r="A33" s="13">
        <v>5</v>
      </c>
      <c r="B33" s="93" t="s">
        <v>154</v>
      </c>
      <c r="C33" s="33" t="s">
        <v>62</v>
      </c>
      <c r="D33" s="34" t="s">
        <v>67</v>
      </c>
      <c r="E33" s="55">
        <v>756.55555555555554</v>
      </c>
      <c r="F33" s="49">
        <f t="shared" si="1"/>
        <v>619</v>
      </c>
      <c r="G33" s="56">
        <v>619</v>
      </c>
      <c r="H33" s="56"/>
      <c r="I33" s="35"/>
      <c r="J33" s="35">
        <v>61.9</v>
      </c>
      <c r="K33" s="35">
        <v>75.655555555555551</v>
      </c>
      <c r="L33" s="34" t="s">
        <v>67</v>
      </c>
      <c r="M33" s="7">
        <f t="shared" si="8"/>
        <v>100.00000000000001</v>
      </c>
      <c r="N33" s="10">
        <f t="shared" si="9"/>
        <v>81.818181818181827</v>
      </c>
      <c r="O33" s="10">
        <f t="shared" si="9"/>
        <v>0</v>
      </c>
      <c r="P33" s="10">
        <f t="shared" si="9"/>
        <v>0</v>
      </c>
      <c r="Q33" s="10">
        <f t="shared" si="9"/>
        <v>8.1818181818181817</v>
      </c>
      <c r="R33" s="10">
        <f t="shared" si="9"/>
        <v>10</v>
      </c>
    </row>
    <row r="34" spans="1:18" s="6" customFormat="1" x14ac:dyDescent="0.25">
      <c r="A34" s="17" t="s">
        <v>35</v>
      </c>
      <c r="B34" s="92" t="s">
        <v>36</v>
      </c>
      <c r="C34" s="12"/>
      <c r="D34" s="12"/>
      <c r="E34" s="50">
        <f>+SUM(E35:E38)</f>
        <v>2795.2222222222222</v>
      </c>
      <c r="F34" s="48">
        <f t="shared" si="1"/>
        <v>2287</v>
      </c>
      <c r="G34" s="50">
        <f t="shared" ref="G34:K34" si="15">+SUM(G35:G38)</f>
        <v>2287</v>
      </c>
      <c r="H34" s="50">
        <f t="shared" si="15"/>
        <v>0</v>
      </c>
      <c r="I34" s="12">
        <f t="shared" si="15"/>
        <v>0</v>
      </c>
      <c r="J34" s="12">
        <f t="shared" si="15"/>
        <v>228.7</v>
      </c>
      <c r="K34" s="12">
        <f t="shared" si="15"/>
        <v>279.52222222222224</v>
      </c>
      <c r="L34" s="12"/>
      <c r="M34" s="7">
        <f>+N34+O34+P34+Q34+R34</f>
        <v>100.00000000000001</v>
      </c>
      <c r="N34" s="10">
        <f>+G34/$E34*100</f>
        <v>81.818181818181827</v>
      </c>
      <c r="O34" s="10">
        <f t="shared" si="9"/>
        <v>0</v>
      </c>
      <c r="P34" s="10">
        <f t="shared" si="9"/>
        <v>0</v>
      </c>
      <c r="Q34" s="10">
        <f t="shared" si="9"/>
        <v>8.1818181818181817</v>
      </c>
      <c r="R34" s="10">
        <f t="shared" si="9"/>
        <v>10</v>
      </c>
    </row>
    <row r="35" spans="1:18" s="14" customFormat="1" ht="30" outlineLevel="1" x14ac:dyDescent="0.25">
      <c r="A35" s="13">
        <v>1</v>
      </c>
      <c r="B35" s="29" t="s">
        <v>68</v>
      </c>
      <c r="C35" s="8" t="s">
        <v>69</v>
      </c>
      <c r="D35" s="8" t="s">
        <v>70</v>
      </c>
      <c r="E35" s="100">
        <f>+SUM(G35:K35)</f>
        <v>820.11111111111109</v>
      </c>
      <c r="F35" s="49">
        <f t="shared" si="1"/>
        <v>671</v>
      </c>
      <c r="G35" s="54">
        <v>671</v>
      </c>
      <c r="H35" s="54"/>
      <c r="I35" s="28"/>
      <c r="J35" s="28">
        <v>67.099999999999994</v>
      </c>
      <c r="K35" s="28">
        <f>(G35+J35)/0.9*0.1</f>
        <v>82.01111111111112</v>
      </c>
      <c r="L35" s="8" t="s">
        <v>70</v>
      </c>
      <c r="M35" s="7">
        <f t="shared" ref="M35:M79" si="16">+N35+O35+P35+Q35+R35</f>
        <v>100.00000000000001</v>
      </c>
      <c r="N35" s="10">
        <f t="shared" ref="N35:R51" si="17">+G35/$E35*100</f>
        <v>81.818181818181827</v>
      </c>
      <c r="O35" s="10">
        <f t="shared" si="9"/>
        <v>0</v>
      </c>
      <c r="P35" s="10">
        <f t="shared" si="9"/>
        <v>0</v>
      </c>
      <c r="Q35" s="10">
        <f t="shared" si="9"/>
        <v>8.1818181818181817</v>
      </c>
      <c r="R35" s="10">
        <f t="shared" si="9"/>
        <v>10.000000000000002</v>
      </c>
    </row>
    <row r="36" spans="1:18" s="14" customFormat="1" ht="30" outlineLevel="1" x14ac:dyDescent="0.25">
      <c r="A36" s="13">
        <v>2</v>
      </c>
      <c r="B36" s="29" t="s">
        <v>71</v>
      </c>
      <c r="C36" s="8" t="s">
        <v>69</v>
      </c>
      <c r="D36" s="8" t="s">
        <v>72</v>
      </c>
      <c r="E36" s="100">
        <f t="shared" ref="E36:E38" si="18">+SUM(G36:K36)</f>
        <v>488.88888888888891</v>
      </c>
      <c r="F36" s="49">
        <f t="shared" si="1"/>
        <v>400</v>
      </c>
      <c r="G36" s="54">
        <v>400</v>
      </c>
      <c r="H36" s="54"/>
      <c r="I36" s="28"/>
      <c r="J36" s="28">
        <v>40</v>
      </c>
      <c r="K36" s="28">
        <f t="shared" ref="K36:K38" si="19">(G36+J36)/0.9*0.1</f>
        <v>48.888888888888886</v>
      </c>
      <c r="L36" s="8" t="s">
        <v>72</v>
      </c>
      <c r="M36" s="7">
        <f t="shared" si="16"/>
        <v>100</v>
      </c>
      <c r="N36" s="10">
        <f t="shared" si="17"/>
        <v>81.818181818181813</v>
      </c>
      <c r="O36" s="10">
        <f t="shared" si="9"/>
        <v>0</v>
      </c>
      <c r="P36" s="10">
        <f t="shared" si="9"/>
        <v>0</v>
      </c>
      <c r="Q36" s="10">
        <f t="shared" si="9"/>
        <v>8.1818181818181817</v>
      </c>
      <c r="R36" s="10">
        <f t="shared" si="9"/>
        <v>10</v>
      </c>
    </row>
    <row r="37" spans="1:18" s="14" customFormat="1" ht="30" outlineLevel="1" x14ac:dyDescent="0.25">
      <c r="A37" s="13">
        <v>3</v>
      </c>
      <c r="B37" s="29" t="s">
        <v>73</v>
      </c>
      <c r="C37" s="8" t="s">
        <v>69</v>
      </c>
      <c r="D37" s="8" t="s">
        <v>70</v>
      </c>
      <c r="E37" s="100">
        <f t="shared" si="18"/>
        <v>752.88888888888891</v>
      </c>
      <c r="F37" s="49">
        <f t="shared" si="1"/>
        <v>616</v>
      </c>
      <c r="G37" s="54">
        <v>616</v>
      </c>
      <c r="H37" s="54"/>
      <c r="I37" s="28"/>
      <c r="J37" s="28">
        <v>61.6</v>
      </c>
      <c r="K37" s="28">
        <f t="shared" si="19"/>
        <v>75.288888888888891</v>
      </c>
      <c r="L37" s="8" t="s">
        <v>70</v>
      </c>
      <c r="M37" s="7">
        <f t="shared" si="16"/>
        <v>100</v>
      </c>
      <c r="N37" s="10">
        <f t="shared" si="17"/>
        <v>81.818181818181813</v>
      </c>
      <c r="O37" s="10">
        <f t="shared" si="9"/>
        <v>0</v>
      </c>
      <c r="P37" s="10">
        <f t="shared" si="9"/>
        <v>0</v>
      </c>
      <c r="Q37" s="10">
        <f t="shared" si="9"/>
        <v>8.1818181818181817</v>
      </c>
      <c r="R37" s="10">
        <f t="shared" si="9"/>
        <v>10</v>
      </c>
    </row>
    <row r="38" spans="1:18" s="14" customFormat="1" ht="30" outlineLevel="1" x14ac:dyDescent="0.25">
      <c r="A38" s="13">
        <v>4</v>
      </c>
      <c r="B38" s="29" t="s">
        <v>74</v>
      </c>
      <c r="C38" s="8" t="s">
        <v>69</v>
      </c>
      <c r="D38" s="8" t="s">
        <v>70</v>
      </c>
      <c r="E38" s="100">
        <f t="shared" si="18"/>
        <v>733.33333333333337</v>
      </c>
      <c r="F38" s="49">
        <f t="shared" si="1"/>
        <v>600</v>
      </c>
      <c r="G38" s="54">
        <v>600</v>
      </c>
      <c r="H38" s="54"/>
      <c r="I38" s="28"/>
      <c r="J38" s="28">
        <v>60</v>
      </c>
      <c r="K38" s="28">
        <f t="shared" si="19"/>
        <v>73.333333333333343</v>
      </c>
      <c r="L38" s="8" t="s">
        <v>70</v>
      </c>
      <c r="M38" s="7">
        <f t="shared" si="16"/>
        <v>100</v>
      </c>
      <c r="N38" s="10">
        <f t="shared" si="17"/>
        <v>81.818181818181813</v>
      </c>
      <c r="O38" s="10">
        <f t="shared" si="17"/>
        <v>0</v>
      </c>
      <c r="P38" s="10">
        <f t="shared" si="17"/>
        <v>0</v>
      </c>
      <c r="Q38" s="10">
        <f t="shared" si="17"/>
        <v>8.1818181818181817</v>
      </c>
      <c r="R38" s="10">
        <f t="shared" si="17"/>
        <v>10</v>
      </c>
    </row>
    <row r="39" spans="1:18" s="6" customFormat="1" x14ac:dyDescent="0.25">
      <c r="A39" s="17" t="s">
        <v>37</v>
      </c>
      <c r="B39" s="92" t="s">
        <v>38</v>
      </c>
      <c r="C39" s="12"/>
      <c r="D39" s="12"/>
      <c r="E39" s="50">
        <f>+SUM(E40:E45)</f>
        <v>2533.6559999999999</v>
      </c>
      <c r="F39" s="48">
        <f t="shared" si="1"/>
        <v>2287.0000000000005</v>
      </c>
      <c r="G39" s="50">
        <f t="shared" ref="G39:K39" si="20">+SUM(G40:G45)</f>
        <v>2287.0000000000005</v>
      </c>
      <c r="H39" s="50">
        <f t="shared" si="20"/>
        <v>0</v>
      </c>
      <c r="I39" s="12">
        <f t="shared" si="20"/>
        <v>0</v>
      </c>
      <c r="J39" s="12">
        <f t="shared" si="20"/>
        <v>0</v>
      </c>
      <c r="K39" s="12">
        <f t="shared" si="20"/>
        <v>254.11111111111111</v>
      </c>
      <c r="L39" s="12"/>
      <c r="M39" s="7">
        <f t="shared" si="16"/>
        <v>100.29424322445951</v>
      </c>
      <c r="N39" s="10">
        <f t="shared" si="17"/>
        <v>90.264818902013559</v>
      </c>
      <c r="O39" s="10">
        <f t="shared" si="17"/>
        <v>0</v>
      </c>
      <c r="P39" s="10">
        <f t="shared" si="17"/>
        <v>0</v>
      </c>
      <c r="Q39" s="10">
        <f t="shared" si="17"/>
        <v>0</v>
      </c>
      <c r="R39" s="10">
        <f t="shared" si="17"/>
        <v>10.029424322445948</v>
      </c>
    </row>
    <row r="40" spans="1:18" s="14" customFormat="1" ht="30" outlineLevel="1" x14ac:dyDescent="0.25">
      <c r="A40" s="13">
        <v>1</v>
      </c>
      <c r="B40" s="29" t="s">
        <v>75</v>
      </c>
      <c r="C40" s="8" t="s">
        <v>76</v>
      </c>
      <c r="D40" s="8" t="s">
        <v>77</v>
      </c>
      <c r="E40" s="100">
        <v>671</v>
      </c>
      <c r="F40" s="49">
        <f t="shared" si="1"/>
        <v>610</v>
      </c>
      <c r="G40" s="54">
        <v>610</v>
      </c>
      <c r="H40" s="54">
        <v>0</v>
      </c>
      <c r="I40" s="28">
        <v>0</v>
      </c>
      <c r="J40" s="28">
        <v>0</v>
      </c>
      <c r="K40" s="28">
        <f>+G40/0.9*0.1</f>
        <v>67.777777777777771</v>
      </c>
      <c r="L40" s="8" t="s">
        <v>77</v>
      </c>
      <c r="M40" s="7">
        <f t="shared" si="16"/>
        <v>101.01010101010101</v>
      </c>
      <c r="N40" s="10">
        <f t="shared" si="17"/>
        <v>90.909090909090907</v>
      </c>
      <c r="O40" s="10">
        <f t="shared" si="17"/>
        <v>0</v>
      </c>
      <c r="P40" s="10">
        <f t="shared" si="17"/>
        <v>0</v>
      </c>
      <c r="Q40" s="10">
        <f t="shared" si="17"/>
        <v>0</v>
      </c>
      <c r="R40" s="10">
        <f t="shared" si="17"/>
        <v>10.1010101010101</v>
      </c>
    </row>
    <row r="41" spans="1:18" s="14" customFormat="1" ht="30" outlineLevel="1" x14ac:dyDescent="0.25">
      <c r="A41" s="13">
        <v>2</v>
      </c>
      <c r="B41" s="29" t="s">
        <v>78</v>
      </c>
      <c r="C41" s="8" t="s">
        <v>76</v>
      </c>
      <c r="D41" s="8" t="s">
        <v>79</v>
      </c>
      <c r="E41" s="100">
        <v>67.099999999999994</v>
      </c>
      <c r="F41" s="49">
        <f t="shared" si="1"/>
        <v>61</v>
      </c>
      <c r="G41" s="54">
        <v>61</v>
      </c>
      <c r="H41" s="54">
        <v>0</v>
      </c>
      <c r="I41" s="28">
        <v>0</v>
      </c>
      <c r="J41" s="28">
        <v>0</v>
      </c>
      <c r="K41" s="28">
        <f t="shared" ref="K41:K45" si="21">+G41/0.9*0.1</f>
        <v>6.7777777777777777</v>
      </c>
      <c r="L41" s="8" t="s">
        <v>79</v>
      </c>
      <c r="M41" s="7">
        <f t="shared" si="16"/>
        <v>101.01010101010102</v>
      </c>
      <c r="N41" s="10">
        <f t="shared" si="17"/>
        <v>90.909090909090921</v>
      </c>
      <c r="O41" s="10">
        <f t="shared" si="17"/>
        <v>0</v>
      </c>
      <c r="P41" s="10">
        <f t="shared" si="17"/>
        <v>0</v>
      </c>
      <c r="Q41" s="10">
        <f t="shared" si="17"/>
        <v>0</v>
      </c>
      <c r="R41" s="10">
        <f t="shared" si="17"/>
        <v>10.101010101010102</v>
      </c>
    </row>
    <row r="42" spans="1:18" s="14" customFormat="1" ht="45" outlineLevel="1" x14ac:dyDescent="0.25">
      <c r="A42" s="13">
        <v>3</v>
      </c>
      <c r="B42" s="29" t="s">
        <v>80</v>
      </c>
      <c r="C42" s="8" t="s">
        <v>76</v>
      </c>
      <c r="D42" s="8" t="s">
        <v>81</v>
      </c>
      <c r="E42" s="100">
        <v>486.15</v>
      </c>
      <c r="F42" s="49">
        <f t="shared" si="1"/>
        <v>437.53500000000003</v>
      </c>
      <c r="G42" s="54">
        <v>437.53500000000003</v>
      </c>
      <c r="H42" s="54">
        <v>0</v>
      </c>
      <c r="I42" s="28">
        <v>0</v>
      </c>
      <c r="J42" s="28">
        <v>0</v>
      </c>
      <c r="K42" s="28">
        <f t="shared" si="21"/>
        <v>48.615000000000009</v>
      </c>
      <c r="L42" s="8" t="s">
        <v>81</v>
      </c>
      <c r="M42" s="7">
        <f t="shared" si="16"/>
        <v>100.00000000000001</v>
      </c>
      <c r="N42" s="10">
        <f t="shared" si="17"/>
        <v>90.000000000000014</v>
      </c>
      <c r="O42" s="10">
        <f t="shared" si="17"/>
        <v>0</v>
      </c>
      <c r="P42" s="10">
        <f t="shared" si="17"/>
        <v>0</v>
      </c>
      <c r="Q42" s="10">
        <f t="shared" si="17"/>
        <v>0</v>
      </c>
      <c r="R42" s="10">
        <f t="shared" si="17"/>
        <v>10.000000000000002</v>
      </c>
    </row>
    <row r="43" spans="1:18" s="14" customFormat="1" ht="45" outlineLevel="1" x14ac:dyDescent="0.25">
      <c r="A43" s="13">
        <v>4</v>
      </c>
      <c r="B43" s="29" t="s">
        <v>82</v>
      </c>
      <c r="C43" s="8" t="s">
        <v>76</v>
      </c>
      <c r="D43" s="8" t="s">
        <v>83</v>
      </c>
      <c r="E43" s="100">
        <v>232.56</v>
      </c>
      <c r="F43" s="49">
        <f t="shared" si="1"/>
        <v>209.304</v>
      </c>
      <c r="G43" s="54">
        <v>209.304</v>
      </c>
      <c r="H43" s="54">
        <v>0</v>
      </c>
      <c r="I43" s="28">
        <v>0</v>
      </c>
      <c r="J43" s="28">
        <v>0</v>
      </c>
      <c r="K43" s="28">
        <f t="shared" si="21"/>
        <v>23.256</v>
      </c>
      <c r="L43" s="8" t="s">
        <v>83</v>
      </c>
      <c r="M43" s="7">
        <f t="shared" si="16"/>
        <v>100</v>
      </c>
      <c r="N43" s="10">
        <f t="shared" si="17"/>
        <v>90</v>
      </c>
      <c r="O43" s="10">
        <f t="shared" si="17"/>
        <v>0</v>
      </c>
      <c r="P43" s="10">
        <f t="shared" si="17"/>
        <v>0</v>
      </c>
      <c r="Q43" s="10">
        <f t="shared" si="17"/>
        <v>0</v>
      </c>
      <c r="R43" s="10">
        <f t="shared" si="17"/>
        <v>10</v>
      </c>
    </row>
    <row r="44" spans="1:18" s="14" customFormat="1" ht="45" outlineLevel="1" x14ac:dyDescent="0.25">
      <c r="A44" s="13">
        <v>5</v>
      </c>
      <c r="B44" s="29" t="s">
        <v>84</v>
      </c>
      <c r="C44" s="8" t="s">
        <v>76</v>
      </c>
      <c r="D44" s="8" t="s">
        <v>85</v>
      </c>
      <c r="E44" s="100">
        <v>567.12</v>
      </c>
      <c r="F44" s="49">
        <f t="shared" si="1"/>
        <v>510.40800000000002</v>
      </c>
      <c r="G44" s="54">
        <v>510.40800000000002</v>
      </c>
      <c r="H44" s="54">
        <v>0</v>
      </c>
      <c r="I44" s="28">
        <v>0</v>
      </c>
      <c r="J44" s="28">
        <v>0</v>
      </c>
      <c r="K44" s="28">
        <f t="shared" si="21"/>
        <v>56.712000000000003</v>
      </c>
      <c r="L44" s="8" t="s">
        <v>85</v>
      </c>
      <c r="M44" s="7">
        <f t="shared" si="16"/>
        <v>100</v>
      </c>
      <c r="N44" s="10">
        <f t="shared" si="17"/>
        <v>90</v>
      </c>
      <c r="O44" s="10">
        <f t="shared" si="17"/>
        <v>0</v>
      </c>
      <c r="P44" s="10">
        <f t="shared" si="17"/>
        <v>0</v>
      </c>
      <c r="Q44" s="10">
        <f t="shared" si="17"/>
        <v>0</v>
      </c>
      <c r="R44" s="10">
        <f t="shared" si="17"/>
        <v>10</v>
      </c>
    </row>
    <row r="45" spans="1:18" s="14" customFormat="1" ht="30" outlineLevel="1" x14ac:dyDescent="0.25">
      <c r="A45" s="13">
        <v>6</v>
      </c>
      <c r="B45" s="29" t="s">
        <v>86</v>
      </c>
      <c r="C45" s="8" t="s">
        <v>76</v>
      </c>
      <c r="D45" s="8" t="s">
        <v>87</v>
      </c>
      <c r="E45" s="100">
        <v>509.726</v>
      </c>
      <c r="F45" s="49">
        <f t="shared" si="1"/>
        <v>458.75299999999999</v>
      </c>
      <c r="G45" s="54">
        <v>458.75299999999999</v>
      </c>
      <c r="H45" s="54">
        <v>0</v>
      </c>
      <c r="I45" s="28">
        <v>0</v>
      </c>
      <c r="J45" s="28">
        <v>0</v>
      </c>
      <c r="K45" s="28">
        <f t="shared" si="21"/>
        <v>50.972555555555552</v>
      </c>
      <c r="L45" s="8" t="s">
        <v>87</v>
      </c>
      <c r="M45" s="7">
        <f t="shared" si="16"/>
        <v>99.999912807185737</v>
      </c>
      <c r="N45" s="10">
        <f t="shared" si="17"/>
        <v>89.999921526467162</v>
      </c>
      <c r="O45" s="10">
        <f t="shared" si="17"/>
        <v>0</v>
      </c>
      <c r="P45" s="10">
        <f t="shared" si="17"/>
        <v>0</v>
      </c>
      <c r="Q45" s="10">
        <f t="shared" si="17"/>
        <v>0</v>
      </c>
      <c r="R45" s="10">
        <f t="shared" si="17"/>
        <v>9.9999912807185733</v>
      </c>
    </row>
    <row r="46" spans="1:18" s="6" customFormat="1" ht="24" customHeight="1" x14ac:dyDescent="0.25">
      <c r="A46" s="17" t="s">
        <v>39</v>
      </c>
      <c r="B46" s="95" t="s">
        <v>22</v>
      </c>
      <c r="C46" s="12"/>
      <c r="D46" s="12"/>
      <c r="E46" s="50">
        <f>+SUM(E47:E50)</f>
        <v>2541</v>
      </c>
      <c r="F46" s="48">
        <f t="shared" si="1"/>
        <v>2287</v>
      </c>
      <c r="G46" s="50">
        <f t="shared" ref="G46:K46" si="22">+SUM(G47:G50)</f>
        <v>2287</v>
      </c>
      <c r="H46" s="50">
        <f t="shared" si="22"/>
        <v>0</v>
      </c>
      <c r="I46" s="12">
        <f t="shared" si="22"/>
        <v>0</v>
      </c>
      <c r="J46" s="12">
        <f t="shared" si="22"/>
        <v>0</v>
      </c>
      <c r="K46" s="12">
        <f t="shared" si="22"/>
        <v>253.99999999999994</v>
      </c>
      <c r="L46" s="12"/>
      <c r="M46" s="7">
        <f t="shared" si="16"/>
        <v>100</v>
      </c>
      <c r="N46" s="10">
        <f t="shared" si="17"/>
        <v>90.00393545848091</v>
      </c>
      <c r="O46" s="10">
        <f t="shared" si="17"/>
        <v>0</v>
      </c>
      <c r="P46" s="10">
        <f t="shared" si="17"/>
        <v>0</v>
      </c>
      <c r="Q46" s="10">
        <f t="shared" si="17"/>
        <v>0</v>
      </c>
      <c r="R46" s="10">
        <f t="shared" si="17"/>
        <v>9.9960645415190843</v>
      </c>
    </row>
    <row r="47" spans="1:18" ht="45" outlineLevel="1" x14ac:dyDescent="0.25">
      <c r="A47" s="13">
        <v>1</v>
      </c>
      <c r="B47" s="19" t="s">
        <v>88</v>
      </c>
      <c r="C47" s="13" t="s">
        <v>89</v>
      </c>
      <c r="D47" s="13" t="s">
        <v>90</v>
      </c>
      <c r="E47" s="101">
        <v>745</v>
      </c>
      <c r="F47" s="49">
        <f t="shared" si="1"/>
        <v>671</v>
      </c>
      <c r="G47" s="51">
        <v>671</v>
      </c>
      <c r="H47" s="51"/>
      <c r="I47" s="13"/>
      <c r="J47" s="13"/>
      <c r="K47" s="13">
        <f t="shared" ref="K47:K50" si="23">E47-G47</f>
        <v>74</v>
      </c>
      <c r="L47" s="13" t="s">
        <v>90</v>
      </c>
      <c r="M47" s="7">
        <f t="shared" si="16"/>
        <v>100</v>
      </c>
      <c r="N47" s="10">
        <f t="shared" si="17"/>
        <v>90.067114093959731</v>
      </c>
      <c r="O47" s="10">
        <f t="shared" si="17"/>
        <v>0</v>
      </c>
      <c r="P47" s="10">
        <f t="shared" si="17"/>
        <v>0</v>
      </c>
      <c r="Q47" s="10">
        <f t="shared" si="17"/>
        <v>0</v>
      </c>
      <c r="R47" s="10">
        <f t="shared" si="17"/>
        <v>9.9328859060402692</v>
      </c>
    </row>
    <row r="48" spans="1:18" ht="45" outlineLevel="1" x14ac:dyDescent="0.25">
      <c r="A48" s="13">
        <v>2</v>
      </c>
      <c r="B48" s="19" t="s">
        <v>91</v>
      </c>
      <c r="C48" s="13" t="s">
        <v>89</v>
      </c>
      <c r="D48" s="13" t="s">
        <v>92</v>
      </c>
      <c r="E48" s="101">
        <v>624</v>
      </c>
      <c r="F48" s="49">
        <f t="shared" si="1"/>
        <v>561.20000000000005</v>
      </c>
      <c r="G48" s="51">
        <v>561.20000000000005</v>
      </c>
      <c r="H48" s="51"/>
      <c r="I48" s="13"/>
      <c r="J48" s="13"/>
      <c r="K48" s="13">
        <f t="shared" si="23"/>
        <v>62.799999999999955</v>
      </c>
      <c r="L48" s="13" t="s">
        <v>92</v>
      </c>
      <c r="M48" s="7">
        <f t="shared" si="16"/>
        <v>100</v>
      </c>
      <c r="N48" s="10">
        <f t="shared" si="17"/>
        <v>89.935897435897445</v>
      </c>
      <c r="O48" s="10">
        <f t="shared" si="17"/>
        <v>0</v>
      </c>
      <c r="P48" s="10">
        <f t="shared" si="17"/>
        <v>0</v>
      </c>
      <c r="Q48" s="10">
        <f t="shared" si="17"/>
        <v>0</v>
      </c>
      <c r="R48" s="10">
        <f t="shared" si="17"/>
        <v>10.064102564102557</v>
      </c>
    </row>
    <row r="49" spans="1:18" ht="60" outlineLevel="1" x14ac:dyDescent="0.25">
      <c r="A49" s="13">
        <v>3</v>
      </c>
      <c r="B49" s="19" t="s">
        <v>93</v>
      </c>
      <c r="C49" s="13" t="s">
        <v>89</v>
      </c>
      <c r="D49" s="13" t="s">
        <v>94</v>
      </c>
      <c r="E49" s="101">
        <v>432</v>
      </c>
      <c r="F49" s="49">
        <f t="shared" si="1"/>
        <v>388.8</v>
      </c>
      <c r="G49" s="51">
        <f t="shared" ref="G49:G50" si="24">E49*0.9</f>
        <v>388.8</v>
      </c>
      <c r="H49" s="51"/>
      <c r="I49" s="13"/>
      <c r="J49" s="13"/>
      <c r="K49" s="13">
        <f t="shared" si="23"/>
        <v>43.199999999999989</v>
      </c>
      <c r="L49" s="13" t="s">
        <v>94</v>
      </c>
      <c r="M49" s="7">
        <f t="shared" si="16"/>
        <v>100</v>
      </c>
      <c r="N49" s="10">
        <f t="shared" si="17"/>
        <v>90</v>
      </c>
      <c r="O49" s="10">
        <f t="shared" si="17"/>
        <v>0</v>
      </c>
      <c r="P49" s="10">
        <f t="shared" si="17"/>
        <v>0</v>
      </c>
      <c r="Q49" s="10">
        <f t="shared" si="17"/>
        <v>0</v>
      </c>
      <c r="R49" s="10">
        <f t="shared" si="17"/>
        <v>9.9999999999999982</v>
      </c>
    </row>
    <row r="50" spans="1:18" ht="45" outlineLevel="1" x14ac:dyDescent="0.25">
      <c r="A50" s="13">
        <v>4</v>
      </c>
      <c r="B50" s="19" t="s">
        <v>95</v>
      </c>
      <c r="C50" s="13" t="s">
        <v>89</v>
      </c>
      <c r="D50" s="13" t="s">
        <v>96</v>
      </c>
      <c r="E50" s="101">
        <v>740</v>
      </c>
      <c r="F50" s="49">
        <f t="shared" si="1"/>
        <v>666</v>
      </c>
      <c r="G50" s="51">
        <f t="shared" si="24"/>
        <v>666</v>
      </c>
      <c r="H50" s="51"/>
      <c r="I50" s="13"/>
      <c r="J50" s="13"/>
      <c r="K50" s="13">
        <f t="shared" si="23"/>
        <v>74</v>
      </c>
      <c r="L50" s="13" t="s">
        <v>96</v>
      </c>
      <c r="M50" s="7">
        <f t="shared" si="16"/>
        <v>100</v>
      </c>
      <c r="N50" s="10">
        <f t="shared" si="17"/>
        <v>90</v>
      </c>
      <c r="O50" s="10">
        <f t="shared" si="17"/>
        <v>0</v>
      </c>
      <c r="P50" s="10">
        <f t="shared" si="17"/>
        <v>0</v>
      </c>
      <c r="Q50" s="10">
        <f t="shared" si="17"/>
        <v>0</v>
      </c>
      <c r="R50" s="10">
        <f t="shared" si="17"/>
        <v>10</v>
      </c>
    </row>
    <row r="51" spans="1:18" s="6" customFormat="1" ht="21" customHeight="1" x14ac:dyDescent="0.25">
      <c r="A51" s="17" t="s">
        <v>40</v>
      </c>
      <c r="B51" s="95" t="s">
        <v>41</v>
      </c>
      <c r="C51" s="12"/>
      <c r="D51" s="12"/>
      <c r="E51" s="50">
        <f t="shared" ref="E51:J51" si="25">+SUM(E52:E60)</f>
        <v>4459.5992939999996</v>
      </c>
      <c r="F51" s="48">
        <f t="shared" si="1"/>
        <v>2287</v>
      </c>
      <c r="G51" s="50">
        <f t="shared" si="25"/>
        <v>2287</v>
      </c>
      <c r="H51" s="50">
        <f t="shared" si="25"/>
        <v>0</v>
      </c>
      <c r="I51" s="12">
        <f t="shared" si="25"/>
        <v>0</v>
      </c>
      <c r="J51" s="12">
        <f t="shared" si="25"/>
        <v>1785.3192939999999</v>
      </c>
      <c r="K51" s="12">
        <f>+SUM(K52:K60)</f>
        <v>387.28</v>
      </c>
      <c r="L51" s="12"/>
      <c r="M51" s="7">
        <f t="shared" si="16"/>
        <v>100.00000000000001</v>
      </c>
      <c r="N51" s="10">
        <f t="shared" si="17"/>
        <v>51.282634363068411</v>
      </c>
      <c r="O51" s="10">
        <f t="shared" si="17"/>
        <v>0</v>
      </c>
      <c r="P51" s="10">
        <f t="shared" si="17"/>
        <v>0</v>
      </c>
      <c r="Q51" s="10">
        <f t="shared" si="17"/>
        <v>40.033177339542384</v>
      </c>
      <c r="R51" s="10">
        <f t="shared" si="17"/>
        <v>8.6841882973892144</v>
      </c>
    </row>
    <row r="52" spans="1:18" ht="45" outlineLevel="1" x14ac:dyDescent="0.25">
      <c r="A52" s="13">
        <v>1</v>
      </c>
      <c r="B52" s="19" t="s">
        <v>156</v>
      </c>
      <c r="C52" s="13" t="s">
        <v>97</v>
      </c>
      <c r="D52" s="13" t="s">
        <v>98</v>
      </c>
      <c r="E52" s="101">
        <v>472</v>
      </c>
      <c r="F52" s="48">
        <f t="shared" si="1"/>
        <v>165.31450000000001</v>
      </c>
      <c r="G52" s="51">
        <v>165.31450000000001</v>
      </c>
      <c r="H52" s="51"/>
      <c r="I52" s="13"/>
      <c r="J52" s="13">
        <v>259.4855</v>
      </c>
      <c r="K52" s="13">
        <v>47.2</v>
      </c>
      <c r="L52" s="13" t="s">
        <v>98</v>
      </c>
      <c r="M52" s="7">
        <f t="shared" si="16"/>
        <v>100</v>
      </c>
      <c r="N52" s="10">
        <f t="shared" ref="N52:R67" si="26">+G52/$E52*100</f>
        <v>35.024258474576278</v>
      </c>
      <c r="O52" s="10">
        <f t="shared" si="26"/>
        <v>0</v>
      </c>
      <c r="P52" s="10">
        <f t="shared" si="26"/>
        <v>0</v>
      </c>
      <c r="Q52" s="10">
        <f t="shared" si="26"/>
        <v>54.975741525423729</v>
      </c>
      <c r="R52" s="10">
        <f t="shared" si="26"/>
        <v>10</v>
      </c>
    </row>
    <row r="53" spans="1:18" ht="45" outlineLevel="1" x14ac:dyDescent="0.25">
      <c r="A53" s="13">
        <f>+A52+1</f>
        <v>2</v>
      </c>
      <c r="B53" s="19" t="s">
        <v>157</v>
      </c>
      <c r="C53" s="13" t="s">
        <v>97</v>
      </c>
      <c r="D53" s="13" t="s">
        <v>99</v>
      </c>
      <c r="E53" s="101">
        <v>400</v>
      </c>
      <c r="F53" s="48">
        <f t="shared" si="1"/>
        <v>185.16062600000001</v>
      </c>
      <c r="G53" s="51">
        <v>185.16062600000001</v>
      </c>
      <c r="H53" s="51"/>
      <c r="I53" s="13"/>
      <c r="J53" s="13">
        <v>174.83937399999999</v>
      </c>
      <c r="K53" s="13">
        <v>40</v>
      </c>
      <c r="L53" s="13" t="s">
        <v>99</v>
      </c>
      <c r="M53" s="7">
        <f t="shared" si="16"/>
        <v>100</v>
      </c>
      <c r="N53" s="10">
        <f t="shared" si="26"/>
        <v>46.290156500000002</v>
      </c>
      <c r="O53" s="10">
        <f t="shared" si="26"/>
        <v>0</v>
      </c>
      <c r="P53" s="10">
        <f t="shared" si="26"/>
        <v>0</v>
      </c>
      <c r="Q53" s="10">
        <f t="shared" si="26"/>
        <v>43.709843499999998</v>
      </c>
      <c r="R53" s="10">
        <f t="shared" si="26"/>
        <v>10</v>
      </c>
    </row>
    <row r="54" spans="1:18" ht="45" outlineLevel="1" x14ac:dyDescent="0.25">
      <c r="A54" s="13">
        <f t="shared" ref="A54:A60" si="27">+A53+1</f>
        <v>3</v>
      </c>
      <c r="B54" s="19" t="s">
        <v>100</v>
      </c>
      <c r="C54" s="13" t="s">
        <v>97</v>
      </c>
      <c r="D54" s="13" t="s">
        <v>101</v>
      </c>
      <c r="E54" s="101">
        <v>250</v>
      </c>
      <c r="F54" s="48">
        <f t="shared" si="1"/>
        <v>225</v>
      </c>
      <c r="G54" s="51">
        <v>225</v>
      </c>
      <c r="H54" s="51"/>
      <c r="I54" s="13"/>
      <c r="J54" s="13">
        <v>0</v>
      </c>
      <c r="K54" s="13">
        <v>25</v>
      </c>
      <c r="L54" s="13" t="s">
        <v>101</v>
      </c>
      <c r="M54" s="7">
        <f t="shared" si="16"/>
        <v>100</v>
      </c>
      <c r="N54" s="10">
        <f t="shared" si="26"/>
        <v>90</v>
      </c>
      <c r="O54" s="10">
        <f t="shared" si="26"/>
        <v>0</v>
      </c>
      <c r="P54" s="10">
        <f t="shared" si="26"/>
        <v>0</v>
      </c>
      <c r="Q54" s="10">
        <f t="shared" si="26"/>
        <v>0</v>
      </c>
      <c r="R54" s="10">
        <f t="shared" si="26"/>
        <v>10</v>
      </c>
    </row>
    <row r="55" spans="1:18" ht="60" outlineLevel="1" x14ac:dyDescent="0.25">
      <c r="A55" s="13">
        <f t="shared" si="27"/>
        <v>4</v>
      </c>
      <c r="B55" s="19" t="s">
        <v>102</v>
      </c>
      <c r="C55" s="13" t="s">
        <v>97</v>
      </c>
      <c r="D55" s="13" t="s">
        <v>103</v>
      </c>
      <c r="E55" s="101">
        <v>650</v>
      </c>
      <c r="F55" s="48">
        <f t="shared" si="1"/>
        <v>538.66666599999996</v>
      </c>
      <c r="G55" s="51">
        <v>538.66666599999996</v>
      </c>
      <c r="H55" s="51"/>
      <c r="I55" s="13"/>
      <c r="J55" s="13">
        <v>46.333334000000001</v>
      </c>
      <c r="K55" s="13">
        <v>65</v>
      </c>
      <c r="L55" s="13" t="s">
        <v>103</v>
      </c>
      <c r="M55" s="7">
        <f t="shared" si="16"/>
        <v>99.999999999999986</v>
      </c>
      <c r="N55" s="10">
        <f t="shared" si="26"/>
        <v>82.87179476923076</v>
      </c>
      <c r="O55" s="10">
        <f t="shared" si="26"/>
        <v>0</v>
      </c>
      <c r="P55" s="10">
        <f t="shared" si="26"/>
        <v>0</v>
      </c>
      <c r="Q55" s="10">
        <f t="shared" si="26"/>
        <v>7.1282052307692316</v>
      </c>
      <c r="R55" s="10">
        <f t="shared" si="26"/>
        <v>10</v>
      </c>
    </row>
    <row r="56" spans="1:18" ht="45" outlineLevel="1" x14ac:dyDescent="0.25">
      <c r="A56" s="13">
        <f t="shared" si="27"/>
        <v>5</v>
      </c>
      <c r="B56" s="19" t="s">
        <v>158</v>
      </c>
      <c r="C56" s="13" t="s">
        <v>97</v>
      </c>
      <c r="D56" s="13" t="s">
        <v>104</v>
      </c>
      <c r="E56" s="101">
        <v>1900.7999999999997</v>
      </c>
      <c r="F56" s="48">
        <f t="shared" si="1"/>
        <v>538.66666799999996</v>
      </c>
      <c r="G56" s="51">
        <v>538.66666799999996</v>
      </c>
      <c r="H56" s="51"/>
      <c r="I56" s="13"/>
      <c r="J56" s="13">
        <v>1172.053332</v>
      </c>
      <c r="K56" s="13">
        <v>190.08</v>
      </c>
      <c r="L56" s="13" t="s">
        <v>104</v>
      </c>
      <c r="M56" s="7">
        <f t="shared" si="16"/>
        <v>100</v>
      </c>
      <c r="N56" s="10">
        <f t="shared" si="26"/>
        <v>28.338945075757575</v>
      </c>
      <c r="O56" s="10">
        <f t="shared" si="26"/>
        <v>0</v>
      </c>
      <c r="P56" s="10">
        <f t="shared" si="26"/>
        <v>0</v>
      </c>
      <c r="Q56" s="10">
        <f t="shared" si="26"/>
        <v>61.661054924242428</v>
      </c>
      <c r="R56" s="10">
        <f t="shared" si="26"/>
        <v>10.000000000000002</v>
      </c>
    </row>
    <row r="57" spans="1:18" ht="60" outlineLevel="1" x14ac:dyDescent="0.25">
      <c r="A57" s="13">
        <f t="shared" si="27"/>
        <v>6</v>
      </c>
      <c r="B57" s="19" t="s">
        <v>105</v>
      </c>
      <c r="C57" s="13" t="s">
        <v>97</v>
      </c>
      <c r="D57" s="13" t="s">
        <v>106</v>
      </c>
      <c r="E57" s="101">
        <v>200</v>
      </c>
      <c r="F57" s="48">
        <f t="shared" si="1"/>
        <v>128.50604000000001</v>
      </c>
      <c r="G57" s="51">
        <v>128.50604000000001</v>
      </c>
      <c r="H57" s="51"/>
      <c r="I57" s="13"/>
      <c r="J57" s="13">
        <v>51.493960000000001</v>
      </c>
      <c r="K57" s="13">
        <v>20</v>
      </c>
      <c r="L57" s="13" t="s">
        <v>106</v>
      </c>
      <c r="M57" s="7">
        <f t="shared" si="16"/>
        <v>100.00000000000001</v>
      </c>
      <c r="N57" s="10">
        <f t="shared" si="26"/>
        <v>64.253020000000006</v>
      </c>
      <c r="O57" s="10">
        <f t="shared" si="26"/>
        <v>0</v>
      </c>
      <c r="P57" s="10">
        <f t="shared" si="26"/>
        <v>0</v>
      </c>
      <c r="Q57" s="10">
        <f t="shared" si="26"/>
        <v>25.746980000000004</v>
      </c>
      <c r="R57" s="10">
        <f t="shared" si="26"/>
        <v>10</v>
      </c>
    </row>
    <row r="58" spans="1:18" ht="45" outlineLevel="1" x14ac:dyDescent="0.25">
      <c r="A58" s="13">
        <f t="shared" si="27"/>
        <v>7</v>
      </c>
      <c r="B58" s="19" t="s">
        <v>107</v>
      </c>
      <c r="C58" s="13" t="s">
        <v>97</v>
      </c>
      <c r="D58" s="13" t="s">
        <v>43</v>
      </c>
      <c r="E58" s="101">
        <v>313.637294</v>
      </c>
      <c r="F58" s="48">
        <f t="shared" si="1"/>
        <v>282.27356500000002</v>
      </c>
      <c r="G58" s="51">
        <v>282.27356500000002</v>
      </c>
      <c r="H58" s="51"/>
      <c r="I58" s="13"/>
      <c r="J58" s="13">
        <v>31.363728999999999</v>
      </c>
      <c r="K58" s="13">
        <v>0</v>
      </c>
      <c r="L58" s="13" t="s">
        <v>43</v>
      </c>
      <c r="M58" s="7">
        <f t="shared" si="16"/>
        <v>100</v>
      </c>
      <c r="N58" s="10">
        <f t="shared" si="26"/>
        <v>90.000000127535856</v>
      </c>
      <c r="O58" s="10">
        <f t="shared" si="26"/>
        <v>0</v>
      </c>
      <c r="P58" s="10">
        <f t="shared" si="26"/>
        <v>0</v>
      </c>
      <c r="Q58" s="10">
        <f t="shared" si="26"/>
        <v>9.9999998724641461</v>
      </c>
      <c r="R58" s="10">
        <f t="shared" si="26"/>
        <v>0</v>
      </c>
    </row>
    <row r="59" spans="1:18" ht="60" outlineLevel="1" x14ac:dyDescent="0.25">
      <c r="A59" s="13">
        <f t="shared" si="27"/>
        <v>8</v>
      </c>
      <c r="B59" s="19" t="s">
        <v>108</v>
      </c>
      <c r="C59" s="13" t="s">
        <v>97</v>
      </c>
      <c r="D59" s="13" t="s">
        <v>109</v>
      </c>
      <c r="E59" s="101">
        <v>124.095</v>
      </c>
      <c r="F59" s="48">
        <f t="shared" si="1"/>
        <v>111.6855</v>
      </c>
      <c r="G59" s="51">
        <v>111.6855</v>
      </c>
      <c r="H59" s="51"/>
      <c r="I59" s="13"/>
      <c r="J59" s="13">
        <v>12.4095</v>
      </c>
      <c r="K59" s="13">
        <v>0</v>
      </c>
      <c r="L59" s="13" t="s">
        <v>109</v>
      </c>
      <c r="M59" s="7">
        <f t="shared" si="16"/>
        <v>100</v>
      </c>
      <c r="N59" s="10">
        <f t="shared" si="26"/>
        <v>90</v>
      </c>
      <c r="O59" s="10">
        <f t="shared" si="26"/>
        <v>0</v>
      </c>
      <c r="P59" s="10">
        <f t="shared" si="26"/>
        <v>0</v>
      </c>
      <c r="Q59" s="10">
        <f t="shared" si="26"/>
        <v>10</v>
      </c>
      <c r="R59" s="10">
        <f t="shared" si="26"/>
        <v>0</v>
      </c>
    </row>
    <row r="60" spans="1:18" ht="100.5" customHeight="1" outlineLevel="1" x14ac:dyDescent="0.25">
      <c r="A60" s="13">
        <f t="shared" si="27"/>
        <v>9</v>
      </c>
      <c r="B60" s="19" t="s">
        <v>110</v>
      </c>
      <c r="C60" s="13" t="s">
        <v>97</v>
      </c>
      <c r="D60" s="9" t="s">
        <v>111</v>
      </c>
      <c r="E60" s="101">
        <v>149.06700000000001</v>
      </c>
      <c r="F60" s="48">
        <f t="shared" si="1"/>
        <v>111.726435</v>
      </c>
      <c r="G60" s="51">
        <v>111.726435</v>
      </c>
      <c r="H60" s="51"/>
      <c r="I60" s="13"/>
      <c r="J60" s="13">
        <v>37.340564999999998</v>
      </c>
      <c r="K60" s="13">
        <v>0</v>
      </c>
      <c r="L60" s="9" t="s">
        <v>111</v>
      </c>
      <c r="M60" s="7">
        <f t="shared" si="16"/>
        <v>100</v>
      </c>
      <c r="N60" s="10">
        <f t="shared" si="26"/>
        <v>74.950481998027726</v>
      </c>
      <c r="O60" s="10">
        <f t="shared" si="26"/>
        <v>0</v>
      </c>
      <c r="P60" s="10">
        <f t="shared" si="26"/>
        <v>0</v>
      </c>
      <c r="Q60" s="10">
        <f t="shared" si="26"/>
        <v>25.049518001972267</v>
      </c>
      <c r="R60" s="10">
        <f t="shared" si="26"/>
        <v>0</v>
      </c>
    </row>
    <row r="61" spans="1:18" s="6" customFormat="1" x14ac:dyDescent="0.25">
      <c r="A61" s="17" t="s">
        <v>44</v>
      </c>
      <c r="B61" s="95" t="s">
        <v>45</v>
      </c>
      <c r="C61" s="12"/>
      <c r="D61" s="12"/>
      <c r="E61" s="50">
        <f>+SUM(E62:E75)</f>
        <v>3793.1669999999999</v>
      </c>
      <c r="F61" s="48">
        <f t="shared" si="1"/>
        <v>2287</v>
      </c>
      <c r="G61" s="50">
        <f t="shared" ref="G61:K61" si="28">+SUM(G62:G75)</f>
        <v>2287</v>
      </c>
      <c r="H61" s="50">
        <f t="shared" si="28"/>
        <v>0</v>
      </c>
      <c r="I61" s="12">
        <f t="shared" si="28"/>
        <v>0</v>
      </c>
      <c r="J61" s="12">
        <f t="shared" si="28"/>
        <v>1126.8503000000001</v>
      </c>
      <c r="K61" s="12">
        <f t="shared" si="28"/>
        <v>379.31669999999997</v>
      </c>
      <c r="L61" s="12"/>
      <c r="M61" s="7">
        <f t="shared" si="16"/>
        <v>100</v>
      </c>
      <c r="N61" s="10">
        <f t="shared" si="26"/>
        <v>60.292626188090324</v>
      </c>
      <c r="O61" s="10">
        <f t="shared" si="26"/>
        <v>0</v>
      </c>
      <c r="P61" s="10">
        <f t="shared" si="26"/>
        <v>0</v>
      </c>
      <c r="Q61" s="10">
        <f t="shared" si="26"/>
        <v>29.707373811909683</v>
      </c>
      <c r="R61" s="10">
        <f t="shared" si="26"/>
        <v>10</v>
      </c>
    </row>
    <row r="62" spans="1:18" ht="45" outlineLevel="1" x14ac:dyDescent="0.25">
      <c r="A62" s="22">
        <v>1</v>
      </c>
      <c r="B62" s="37" t="s">
        <v>112</v>
      </c>
      <c r="C62" s="38" t="s">
        <v>113</v>
      </c>
      <c r="D62" s="37" t="s">
        <v>114</v>
      </c>
      <c r="E62" s="58">
        <v>300</v>
      </c>
      <c r="F62" s="48">
        <f t="shared" si="1"/>
        <v>240</v>
      </c>
      <c r="G62" s="57">
        <v>240</v>
      </c>
      <c r="H62" s="57"/>
      <c r="I62" s="40"/>
      <c r="J62" s="39">
        <v>30</v>
      </c>
      <c r="K62" s="41">
        <v>30</v>
      </c>
      <c r="L62" s="37" t="s">
        <v>114</v>
      </c>
      <c r="M62" s="7">
        <f t="shared" si="16"/>
        <v>100</v>
      </c>
      <c r="N62" s="10">
        <f t="shared" si="26"/>
        <v>80</v>
      </c>
      <c r="O62" s="10">
        <f t="shared" si="26"/>
        <v>0</v>
      </c>
      <c r="P62" s="10">
        <f t="shared" si="26"/>
        <v>0</v>
      </c>
      <c r="Q62" s="10">
        <f t="shared" si="26"/>
        <v>10</v>
      </c>
      <c r="R62" s="10">
        <f t="shared" si="26"/>
        <v>10</v>
      </c>
    </row>
    <row r="63" spans="1:18" ht="45" outlineLevel="1" x14ac:dyDescent="0.25">
      <c r="A63" s="22">
        <v>2</v>
      </c>
      <c r="B63" s="37" t="s">
        <v>115</v>
      </c>
      <c r="C63" s="38" t="s">
        <v>113</v>
      </c>
      <c r="D63" s="37" t="s">
        <v>116</v>
      </c>
      <c r="E63" s="58">
        <v>111</v>
      </c>
      <c r="F63" s="48">
        <f t="shared" si="1"/>
        <v>88.8</v>
      </c>
      <c r="G63" s="57">
        <v>88.8</v>
      </c>
      <c r="H63" s="57"/>
      <c r="I63" s="40"/>
      <c r="J63" s="39">
        <v>11.1</v>
      </c>
      <c r="K63" s="41">
        <v>11.1</v>
      </c>
      <c r="L63" s="37" t="s">
        <v>116</v>
      </c>
      <c r="M63" s="7">
        <f t="shared" si="16"/>
        <v>100</v>
      </c>
      <c r="N63" s="10">
        <f t="shared" si="26"/>
        <v>80</v>
      </c>
      <c r="O63" s="10">
        <f t="shared" si="26"/>
        <v>0</v>
      </c>
      <c r="P63" s="10">
        <f t="shared" si="26"/>
        <v>0</v>
      </c>
      <c r="Q63" s="10">
        <f t="shared" si="26"/>
        <v>10</v>
      </c>
      <c r="R63" s="10">
        <f t="shared" si="26"/>
        <v>10</v>
      </c>
    </row>
    <row r="64" spans="1:18" ht="45" outlineLevel="1" x14ac:dyDescent="0.25">
      <c r="A64" s="22">
        <v>3</v>
      </c>
      <c r="B64" s="37" t="s">
        <v>117</v>
      </c>
      <c r="C64" s="38" t="s">
        <v>113</v>
      </c>
      <c r="D64" s="37" t="s">
        <v>118</v>
      </c>
      <c r="E64" s="58">
        <v>210</v>
      </c>
      <c r="F64" s="48">
        <f t="shared" si="1"/>
        <v>168</v>
      </c>
      <c r="G64" s="57">
        <v>168</v>
      </c>
      <c r="H64" s="57"/>
      <c r="I64" s="40"/>
      <c r="J64" s="39">
        <v>21</v>
      </c>
      <c r="K64" s="41">
        <v>21</v>
      </c>
      <c r="L64" s="37" t="s">
        <v>118</v>
      </c>
      <c r="M64" s="7">
        <f t="shared" si="16"/>
        <v>100</v>
      </c>
      <c r="N64" s="10">
        <f t="shared" si="26"/>
        <v>80</v>
      </c>
      <c r="O64" s="10">
        <f t="shared" si="26"/>
        <v>0</v>
      </c>
      <c r="P64" s="10">
        <f t="shared" si="26"/>
        <v>0</v>
      </c>
      <c r="Q64" s="10">
        <f t="shared" si="26"/>
        <v>10</v>
      </c>
      <c r="R64" s="10">
        <f t="shared" si="26"/>
        <v>10</v>
      </c>
    </row>
    <row r="65" spans="1:18" ht="30" outlineLevel="1" x14ac:dyDescent="0.25">
      <c r="A65" s="22">
        <v>4</v>
      </c>
      <c r="B65" s="37" t="s">
        <v>119</v>
      </c>
      <c r="C65" s="38" t="s">
        <v>113</v>
      </c>
      <c r="D65" s="37" t="s">
        <v>120</v>
      </c>
      <c r="E65" s="58">
        <v>317</v>
      </c>
      <c r="F65" s="48">
        <f t="shared" si="1"/>
        <v>174.2</v>
      </c>
      <c r="G65" s="57">
        <v>174.2</v>
      </c>
      <c r="H65" s="57"/>
      <c r="I65" s="40"/>
      <c r="J65" s="41">
        <v>111.1</v>
      </c>
      <c r="K65" s="41">
        <v>31.7</v>
      </c>
      <c r="L65" s="37" t="s">
        <v>120</v>
      </c>
      <c r="M65" s="7">
        <f t="shared" si="16"/>
        <v>100</v>
      </c>
      <c r="N65" s="10">
        <f t="shared" si="26"/>
        <v>54.952681388012614</v>
      </c>
      <c r="O65" s="10">
        <f t="shared" si="26"/>
        <v>0</v>
      </c>
      <c r="P65" s="10">
        <f t="shared" si="26"/>
        <v>0</v>
      </c>
      <c r="Q65" s="10">
        <f t="shared" si="26"/>
        <v>35.047318611987386</v>
      </c>
      <c r="R65" s="10">
        <f t="shared" si="26"/>
        <v>10</v>
      </c>
    </row>
    <row r="66" spans="1:18" ht="45" outlineLevel="1" x14ac:dyDescent="0.25">
      <c r="A66" s="22">
        <v>5</v>
      </c>
      <c r="B66" s="37" t="s">
        <v>121</v>
      </c>
      <c r="C66" s="38" t="s">
        <v>113</v>
      </c>
      <c r="D66" s="37" t="s">
        <v>122</v>
      </c>
      <c r="E66" s="58">
        <v>272.89</v>
      </c>
      <c r="F66" s="48">
        <f t="shared" si="1"/>
        <v>218.31200000000001</v>
      </c>
      <c r="G66" s="57">
        <v>218.31200000000001</v>
      </c>
      <c r="H66" s="59"/>
      <c r="I66" s="20"/>
      <c r="J66" s="42">
        <v>27.289000000000001</v>
      </c>
      <c r="K66" s="41">
        <v>27.289000000000001</v>
      </c>
      <c r="L66" s="37" t="s">
        <v>122</v>
      </c>
      <c r="M66" s="7">
        <f t="shared" si="16"/>
        <v>100</v>
      </c>
      <c r="N66" s="10">
        <f t="shared" si="26"/>
        <v>80</v>
      </c>
      <c r="O66" s="10">
        <f t="shared" si="26"/>
        <v>0</v>
      </c>
      <c r="P66" s="10">
        <f t="shared" si="26"/>
        <v>0</v>
      </c>
      <c r="Q66" s="10">
        <f t="shared" si="26"/>
        <v>10</v>
      </c>
      <c r="R66" s="10">
        <f t="shared" si="26"/>
        <v>10</v>
      </c>
    </row>
    <row r="67" spans="1:18" ht="30" outlineLevel="1" x14ac:dyDescent="0.25">
      <c r="A67" s="22">
        <v>6</v>
      </c>
      <c r="B67" s="37" t="s">
        <v>123</v>
      </c>
      <c r="C67" s="38" t="s">
        <v>113</v>
      </c>
      <c r="D67" s="37" t="s">
        <v>124</v>
      </c>
      <c r="E67" s="58">
        <v>339.60599999999999</v>
      </c>
      <c r="F67" s="48">
        <f t="shared" si="1"/>
        <v>271.6848</v>
      </c>
      <c r="G67" s="57">
        <v>271.6848</v>
      </c>
      <c r="H67" s="59"/>
      <c r="I67" s="20"/>
      <c r="J67" s="42">
        <v>33.960599999999999</v>
      </c>
      <c r="K67" s="41">
        <v>33.960599999999999</v>
      </c>
      <c r="L67" s="37" t="s">
        <v>124</v>
      </c>
      <c r="M67" s="7">
        <f t="shared" si="16"/>
        <v>100</v>
      </c>
      <c r="N67" s="10">
        <f t="shared" si="26"/>
        <v>80</v>
      </c>
      <c r="O67" s="10">
        <f t="shared" si="26"/>
        <v>0</v>
      </c>
      <c r="P67" s="10">
        <f t="shared" si="26"/>
        <v>0</v>
      </c>
      <c r="Q67" s="10">
        <f t="shared" si="26"/>
        <v>10</v>
      </c>
      <c r="R67" s="10">
        <f t="shared" si="26"/>
        <v>10</v>
      </c>
    </row>
    <row r="68" spans="1:18" ht="30" outlineLevel="1" x14ac:dyDescent="0.25">
      <c r="A68" s="22">
        <v>7</v>
      </c>
      <c r="B68" s="37" t="s">
        <v>159</v>
      </c>
      <c r="C68" s="38" t="s">
        <v>113</v>
      </c>
      <c r="D68" s="37" t="s">
        <v>125</v>
      </c>
      <c r="E68" s="58">
        <v>129.67099999999999</v>
      </c>
      <c r="F68" s="48">
        <f t="shared" si="1"/>
        <v>103.7368</v>
      </c>
      <c r="G68" s="57">
        <v>103.7368</v>
      </c>
      <c r="H68" s="59"/>
      <c r="I68" s="20"/>
      <c r="J68" s="42">
        <v>12.9671</v>
      </c>
      <c r="K68" s="41">
        <v>12.9671</v>
      </c>
      <c r="L68" s="37" t="s">
        <v>125</v>
      </c>
      <c r="M68" s="7">
        <f t="shared" si="16"/>
        <v>100</v>
      </c>
      <c r="N68" s="10">
        <f t="shared" ref="N68:R79" si="29">+G68/$E68*100</f>
        <v>80</v>
      </c>
      <c r="O68" s="10">
        <f t="shared" si="29"/>
        <v>0</v>
      </c>
      <c r="P68" s="10">
        <f t="shared" si="29"/>
        <v>0</v>
      </c>
      <c r="Q68" s="10">
        <f t="shared" si="29"/>
        <v>10</v>
      </c>
      <c r="R68" s="10">
        <f t="shared" si="29"/>
        <v>10</v>
      </c>
    </row>
    <row r="69" spans="1:18" ht="30" outlineLevel="1" x14ac:dyDescent="0.25">
      <c r="A69" s="22">
        <v>8</v>
      </c>
      <c r="B69" s="37" t="s">
        <v>126</v>
      </c>
      <c r="C69" s="38" t="s">
        <v>113</v>
      </c>
      <c r="D69" s="37" t="s">
        <v>127</v>
      </c>
      <c r="E69" s="58">
        <v>210</v>
      </c>
      <c r="F69" s="48">
        <f t="shared" si="1"/>
        <v>168</v>
      </c>
      <c r="G69" s="57">
        <v>168</v>
      </c>
      <c r="H69" s="59"/>
      <c r="I69" s="20"/>
      <c r="J69" s="42">
        <v>21</v>
      </c>
      <c r="K69" s="41">
        <v>21</v>
      </c>
      <c r="L69" s="37" t="s">
        <v>127</v>
      </c>
      <c r="M69" s="7">
        <f t="shared" si="16"/>
        <v>100</v>
      </c>
      <c r="N69" s="10">
        <f t="shared" si="29"/>
        <v>80</v>
      </c>
      <c r="O69" s="10">
        <f t="shared" si="29"/>
        <v>0</v>
      </c>
      <c r="P69" s="10">
        <f t="shared" si="29"/>
        <v>0</v>
      </c>
      <c r="Q69" s="10">
        <f t="shared" si="29"/>
        <v>10</v>
      </c>
      <c r="R69" s="10">
        <f t="shared" si="29"/>
        <v>10</v>
      </c>
    </row>
    <row r="70" spans="1:18" ht="30" outlineLevel="1" x14ac:dyDescent="0.25">
      <c r="A70" s="22">
        <v>9</v>
      </c>
      <c r="B70" s="37" t="s">
        <v>128</v>
      </c>
      <c r="C70" s="38" t="s">
        <v>113</v>
      </c>
      <c r="D70" s="37" t="s">
        <v>129</v>
      </c>
      <c r="E70" s="58">
        <v>194</v>
      </c>
      <c r="F70" s="48">
        <f t="shared" si="1"/>
        <v>155.19999999999999</v>
      </c>
      <c r="G70" s="57">
        <v>155.19999999999999</v>
      </c>
      <c r="H70" s="59"/>
      <c r="I70" s="20"/>
      <c r="J70" s="42">
        <v>19.399999999999999</v>
      </c>
      <c r="K70" s="41">
        <v>19.399999999999999</v>
      </c>
      <c r="L70" s="37" t="s">
        <v>129</v>
      </c>
      <c r="M70" s="7">
        <f t="shared" si="16"/>
        <v>100</v>
      </c>
      <c r="N70" s="10">
        <f t="shared" si="29"/>
        <v>80</v>
      </c>
      <c r="O70" s="10">
        <f t="shared" si="29"/>
        <v>0</v>
      </c>
      <c r="P70" s="10">
        <f t="shared" si="29"/>
        <v>0</v>
      </c>
      <c r="Q70" s="10">
        <f t="shared" si="29"/>
        <v>10</v>
      </c>
      <c r="R70" s="10">
        <f t="shared" si="29"/>
        <v>10</v>
      </c>
    </row>
    <row r="71" spans="1:18" ht="30" outlineLevel="1" x14ac:dyDescent="0.25">
      <c r="A71" s="22">
        <v>10</v>
      </c>
      <c r="B71" s="37" t="s">
        <v>130</v>
      </c>
      <c r="C71" s="38" t="s">
        <v>113</v>
      </c>
      <c r="D71" s="37" t="s">
        <v>129</v>
      </c>
      <c r="E71" s="58">
        <v>123</v>
      </c>
      <c r="F71" s="48">
        <f t="shared" ref="F71:F79" si="30">+G71+H71</f>
        <v>98.4</v>
      </c>
      <c r="G71" s="57">
        <v>98.4</v>
      </c>
      <c r="H71" s="59"/>
      <c r="I71" s="20"/>
      <c r="J71" s="42">
        <v>12.3</v>
      </c>
      <c r="K71" s="41">
        <v>12.3</v>
      </c>
      <c r="L71" s="37" t="s">
        <v>129</v>
      </c>
      <c r="M71" s="7">
        <f t="shared" si="16"/>
        <v>100</v>
      </c>
      <c r="N71" s="10">
        <f t="shared" si="29"/>
        <v>80</v>
      </c>
      <c r="O71" s="10">
        <f t="shared" si="29"/>
        <v>0</v>
      </c>
      <c r="P71" s="10">
        <f t="shared" si="29"/>
        <v>0</v>
      </c>
      <c r="Q71" s="10">
        <f t="shared" si="29"/>
        <v>10</v>
      </c>
      <c r="R71" s="10">
        <f t="shared" si="29"/>
        <v>10</v>
      </c>
    </row>
    <row r="72" spans="1:18" ht="30" outlineLevel="1" x14ac:dyDescent="0.25">
      <c r="A72" s="22">
        <v>11</v>
      </c>
      <c r="B72" s="37" t="s">
        <v>131</v>
      </c>
      <c r="C72" s="38" t="s">
        <v>113</v>
      </c>
      <c r="D72" s="37" t="s">
        <v>132</v>
      </c>
      <c r="E72" s="58">
        <v>100</v>
      </c>
      <c r="F72" s="48">
        <f t="shared" si="30"/>
        <v>80</v>
      </c>
      <c r="G72" s="57">
        <v>80</v>
      </c>
      <c r="H72" s="59"/>
      <c r="I72" s="20"/>
      <c r="J72" s="42">
        <v>10</v>
      </c>
      <c r="K72" s="41">
        <v>10</v>
      </c>
      <c r="L72" s="37" t="s">
        <v>132</v>
      </c>
      <c r="M72" s="7">
        <f t="shared" si="16"/>
        <v>100</v>
      </c>
      <c r="N72" s="10">
        <f t="shared" si="29"/>
        <v>80</v>
      </c>
      <c r="O72" s="10">
        <f t="shared" si="29"/>
        <v>0</v>
      </c>
      <c r="P72" s="10">
        <f t="shared" si="29"/>
        <v>0</v>
      </c>
      <c r="Q72" s="10">
        <f t="shared" si="29"/>
        <v>10</v>
      </c>
      <c r="R72" s="10">
        <f t="shared" si="29"/>
        <v>10</v>
      </c>
    </row>
    <row r="73" spans="1:18" ht="30" outlineLevel="1" x14ac:dyDescent="0.25">
      <c r="A73" s="22">
        <v>12</v>
      </c>
      <c r="B73" s="37" t="s">
        <v>133</v>
      </c>
      <c r="C73" s="38" t="s">
        <v>113</v>
      </c>
      <c r="D73" s="37" t="s">
        <v>132</v>
      </c>
      <c r="E73" s="58">
        <v>100</v>
      </c>
      <c r="F73" s="48">
        <f t="shared" si="30"/>
        <v>80</v>
      </c>
      <c r="G73" s="57">
        <v>80</v>
      </c>
      <c r="H73" s="59"/>
      <c r="I73" s="20"/>
      <c r="J73" s="42">
        <v>10</v>
      </c>
      <c r="K73" s="41">
        <v>10</v>
      </c>
      <c r="L73" s="37" t="s">
        <v>132</v>
      </c>
      <c r="M73" s="7">
        <f t="shared" si="16"/>
        <v>100</v>
      </c>
      <c r="N73" s="10">
        <f t="shared" si="29"/>
        <v>80</v>
      </c>
      <c r="O73" s="10">
        <f t="shared" si="29"/>
        <v>0</v>
      </c>
      <c r="P73" s="10">
        <f t="shared" si="29"/>
        <v>0</v>
      </c>
      <c r="Q73" s="10">
        <f t="shared" si="29"/>
        <v>10</v>
      </c>
      <c r="R73" s="10">
        <f t="shared" si="29"/>
        <v>10</v>
      </c>
    </row>
    <row r="74" spans="1:18" s="45" customFormat="1" ht="55.5" customHeight="1" outlineLevel="1" x14ac:dyDescent="0.25">
      <c r="A74" s="22">
        <v>13</v>
      </c>
      <c r="B74" s="37" t="s">
        <v>134</v>
      </c>
      <c r="C74" s="38" t="s">
        <v>113</v>
      </c>
      <c r="D74" s="8" t="s">
        <v>135</v>
      </c>
      <c r="E74" s="58">
        <v>135</v>
      </c>
      <c r="F74" s="48">
        <f t="shared" si="30"/>
        <v>108</v>
      </c>
      <c r="G74" s="57">
        <v>108</v>
      </c>
      <c r="H74" s="57"/>
      <c r="I74" s="39"/>
      <c r="J74" s="39">
        <v>13.5</v>
      </c>
      <c r="K74" s="42">
        <v>13.5</v>
      </c>
      <c r="L74" s="8" t="s">
        <v>135</v>
      </c>
      <c r="M74" s="43">
        <f t="shared" si="16"/>
        <v>100</v>
      </c>
      <c r="N74" s="44">
        <f t="shared" si="29"/>
        <v>80</v>
      </c>
      <c r="O74" s="44">
        <f t="shared" si="29"/>
        <v>0</v>
      </c>
      <c r="P74" s="44">
        <f t="shared" si="29"/>
        <v>0</v>
      </c>
      <c r="Q74" s="44">
        <f t="shared" si="29"/>
        <v>10</v>
      </c>
      <c r="R74" s="44">
        <f t="shared" si="29"/>
        <v>10</v>
      </c>
    </row>
    <row r="75" spans="1:18" ht="90" outlineLevel="1" x14ac:dyDescent="0.25">
      <c r="A75" s="22">
        <v>14</v>
      </c>
      <c r="B75" s="37" t="s">
        <v>136</v>
      </c>
      <c r="C75" s="38" t="s">
        <v>113</v>
      </c>
      <c r="D75" s="9" t="s">
        <v>137</v>
      </c>
      <c r="E75" s="58">
        <v>1251</v>
      </c>
      <c r="F75" s="48">
        <f t="shared" si="30"/>
        <v>332.66640000000001</v>
      </c>
      <c r="G75" s="57">
        <v>332.66640000000001</v>
      </c>
      <c r="H75" s="57"/>
      <c r="I75" s="39"/>
      <c r="J75" s="39">
        <v>793.23360000000002</v>
      </c>
      <c r="K75" s="46">
        <v>125.1</v>
      </c>
      <c r="L75" s="9" t="s">
        <v>137</v>
      </c>
      <c r="M75" s="7">
        <f t="shared" si="16"/>
        <v>100</v>
      </c>
      <c r="N75" s="10">
        <f t="shared" si="29"/>
        <v>26.592038369304554</v>
      </c>
      <c r="O75" s="10">
        <f t="shared" si="29"/>
        <v>0</v>
      </c>
      <c r="P75" s="10">
        <f t="shared" si="29"/>
        <v>0</v>
      </c>
      <c r="Q75" s="10">
        <f t="shared" si="29"/>
        <v>63.407961630695439</v>
      </c>
      <c r="R75" s="10">
        <f t="shared" si="29"/>
        <v>10</v>
      </c>
    </row>
    <row r="76" spans="1:18" s="6" customFormat="1" x14ac:dyDescent="0.25">
      <c r="A76" s="17" t="s">
        <v>46</v>
      </c>
      <c r="B76" s="95" t="s">
        <v>47</v>
      </c>
      <c r="C76" s="12"/>
      <c r="D76" s="12"/>
      <c r="E76" s="50">
        <f>+SUM(E77:E79)</f>
        <v>3531.75</v>
      </c>
      <c r="F76" s="48">
        <f t="shared" si="30"/>
        <v>2287</v>
      </c>
      <c r="G76" s="50">
        <f t="shared" ref="G76:K76" si="31">+SUM(G77:G79)</f>
        <v>2287</v>
      </c>
      <c r="H76" s="50">
        <f t="shared" si="31"/>
        <v>0</v>
      </c>
      <c r="I76" s="12">
        <f t="shared" si="31"/>
        <v>0</v>
      </c>
      <c r="J76" s="12">
        <f t="shared" si="31"/>
        <v>891.875</v>
      </c>
      <c r="K76" s="12">
        <f t="shared" si="31"/>
        <v>352.875</v>
      </c>
      <c r="L76" s="12"/>
      <c r="M76" s="7">
        <f t="shared" si="16"/>
        <v>99.999999999999986</v>
      </c>
      <c r="N76" s="10">
        <f t="shared" si="29"/>
        <v>64.7554328590642</v>
      </c>
      <c r="O76" s="10">
        <f t="shared" si="29"/>
        <v>0</v>
      </c>
      <c r="P76" s="10">
        <f t="shared" si="29"/>
        <v>0</v>
      </c>
      <c r="Q76" s="10">
        <f t="shared" si="29"/>
        <v>25.253061513414032</v>
      </c>
      <c r="R76" s="10">
        <f t="shared" si="29"/>
        <v>9.9915056275217662</v>
      </c>
    </row>
    <row r="77" spans="1:18" ht="45" outlineLevel="1" x14ac:dyDescent="0.25">
      <c r="A77" s="22">
        <v>1</v>
      </c>
      <c r="B77" s="37" t="s">
        <v>138</v>
      </c>
      <c r="C77" s="38" t="s">
        <v>139</v>
      </c>
      <c r="D77" s="37" t="s">
        <v>140</v>
      </c>
      <c r="E77" s="58">
        <v>838.75</v>
      </c>
      <c r="F77" s="48">
        <f t="shared" si="30"/>
        <v>671</v>
      </c>
      <c r="G77" s="57">
        <v>671</v>
      </c>
      <c r="H77" s="57"/>
      <c r="I77" s="39"/>
      <c r="J77" s="39">
        <v>83.875</v>
      </c>
      <c r="K77" s="46">
        <v>83.875</v>
      </c>
      <c r="L77" s="37" t="s">
        <v>140</v>
      </c>
      <c r="M77" s="7">
        <f t="shared" si="16"/>
        <v>100</v>
      </c>
      <c r="N77" s="10">
        <f t="shared" si="29"/>
        <v>80</v>
      </c>
      <c r="O77" s="10">
        <f t="shared" si="29"/>
        <v>0</v>
      </c>
      <c r="P77" s="10">
        <f t="shared" si="29"/>
        <v>0</v>
      </c>
      <c r="Q77" s="10">
        <f t="shared" si="29"/>
        <v>10</v>
      </c>
      <c r="R77" s="10">
        <f t="shared" si="29"/>
        <v>10</v>
      </c>
    </row>
    <row r="78" spans="1:18" ht="45" outlineLevel="1" x14ac:dyDescent="0.25">
      <c r="A78" s="22">
        <v>2</v>
      </c>
      <c r="B78" s="37" t="s">
        <v>141</v>
      </c>
      <c r="C78" s="38" t="s">
        <v>139</v>
      </c>
      <c r="D78" s="37"/>
      <c r="E78" s="58">
        <v>2193</v>
      </c>
      <c r="F78" s="48">
        <f t="shared" si="30"/>
        <v>1316</v>
      </c>
      <c r="G78" s="57">
        <v>1316</v>
      </c>
      <c r="H78" s="57"/>
      <c r="I78" s="39"/>
      <c r="J78" s="39">
        <v>658</v>
      </c>
      <c r="K78" s="46">
        <v>219</v>
      </c>
      <c r="L78" s="37"/>
      <c r="M78" s="7">
        <f t="shared" si="16"/>
        <v>100</v>
      </c>
      <c r="N78" s="10">
        <f t="shared" si="29"/>
        <v>60.009119927040587</v>
      </c>
      <c r="O78" s="10">
        <f t="shared" si="29"/>
        <v>0</v>
      </c>
      <c r="P78" s="10">
        <f t="shared" si="29"/>
        <v>0</v>
      </c>
      <c r="Q78" s="10">
        <f t="shared" si="29"/>
        <v>30.004559963520293</v>
      </c>
      <c r="R78" s="10">
        <f t="shared" si="29"/>
        <v>9.9863201094391236</v>
      </c>
    </row>
    <row r="79" spans="1:18" ht="30" outlineLevel="1" x14ac:dyDescent="0.25">
      <c r="A79" s="22">
        <v>3</v>
      </c>
      <c r="B79" s="37" t="s">
        <v>142</v>
      </c>
      <c r="C79" s="38" t="s">
        <v>139</v>
      </c>
      <c r="D79" s="37"/>
      <c r="E79" s="58">
        <v>500</v>
      </c>
      <c r="F79" s="48">
        <f t="shared" si="30"/>
        <v>300</v>
      </c>
      <c r="G79" s="57">
        <v>300</v>
      </c>
      <c r="H79" s="57"/>
      <c r="I79" s="39"/>
      <c r="J79" s="39">
        <v>150</v>
      </c>
      <c r="K79" s="46">
        <v>50</v>
      </c>
      <c r="L79" s="37"/>
      <c r="M79" s="7">
        <f t="shared" si="16"/>
        <v>100</v>
      </c>
      <c r="N79" s="10">
        <f t="shared" si="29"/>
        <v>60</v>
      </c>
      <c r="O79" s="10">
        <f t="shared" si="29"/>
        <v>0</v>
      </c>
      <c r="P79" s="10">
        <f t="shared" si="29"/>
        <v>0</v>
      </c>
      <c r="Q79" s="10">
        <f t="shared" si="29"/>
        <v>30</v>
      </c>
      <c r="R79" s="10">
        <f t="shared" si="29"/>
        <v>10</v>
      </c>
    </row>
    <row r="80" spans="1:18" outlineLevel="1" x14ac:dyDescent="0.25"/>
  </sheetData>
  <mergeCells count="14">
    <mergeCell ref="E4:E5"/>
    <mergeCell ref="F4:K4"/>
    <mergeCell ref="A2:L2"/>
    <mergeCell ref="H3:L3"/>
    <mergeCell ref="L4:L5"/>
    <mergeCell ref="B22:D22"/>
    <mergeCell ref="A4:A5"/>
    <mergeCell ref="B4:B5"/>
    <mergeCell ref="C4:C5"/>
    <mergeCell ref="D4:D5"/>
    <mergeCell ref="B6:D6"/>
    <mergeCell ref="B7:D7"/>
    <mergeCell ref="B8:D8"/>
    <mergeCell ref="B15:D15"/>
  </mergeCells>
  <pageMargins left="0.51181102362204722" right="0.19685039370078741" top="0.42" bottom="0.62" header="0.31496062992125984" footer="0.45"/>
  <pageSetup paperSize="9" scale="8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Mẫu 2022</vt:lpstr>
      <vt:lpstr>Biểu 1</vt:lpstr>
      <vt:lpstr>Biểu 1_TH</vt:lpstr>
      <vt:lpstr>Biểu 2_DTTS</vt:lpstr>
      <vt:lpstr>Biểu 3_NTM</vt:lpstr>
      <vt:lpstr>Thuyết minh</vt:lpstr>
      <vt:lpstr>BIểu 2</vt:lpstr>
      <vt:lpstr>'Biểu 1_TH'!Print_Area</vt:lpstr>
      <vt:lpstr>'Biểu 2_DTTS'!Print_Area</vt:lpstr>
      <vt:lpstr>'Biểu 3_NTM'!Print_Area</vt:lpstr>
      <vt:lpstr>'Thuyết minh'!Print_Area</vt:lpstr>
      <vt:lpstr>'Biểu 1'!Print_Titles</vt:lpstr>
      <vt:lpstr>'BIểu 2'!Print_Titles</vt:lpstr>
      <vt:lpstr>'Biểu 2_DTTS'!Print_Titles</vt:lpstr>
      <vt:lpstr>'Biểu 3_NTM'!Print_Titles</vt:lpstr>
      <vt:lpstr>'Mẫu 2022'!Print_Titles</vt:lpstr>
      <vt:lpstr>'Thuyết minh'!Print_Titles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Admin</cp:lastModifiedBy>
  <cp:lastPrinted>2022-10-20T08:26:34Z</cp:lastPrinted>
  <dcterms:created xsi:type="dcterms:W3CDTF">2022-09-16T03:29:18Z</dcterms:created>
  <dcterms:modified xsi:type="dcterms:W3CDTF">2022-10-20T08:45:23Z</dcterms:modified>
</cp:coreProperties>
</file>